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Лист1" sheetId="1" r:id="rId1"/>
  </sheets>
  <definedNames>
    <definedName name="_GoBack" localSheetId="0">'Лист1'!$A$415</definedName>
    <definedName name="_xlnm.Print_Area" localSheetId="0">'Лист1'!$A$1:$L$410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F353" authorId="0">
      <text>
        <r>
          <rPr>
            <sz val="10"/>
            <rFont val="Tahoma"/>
            <family val="2"/>
          </rPr>
          <t>270-управление;
330- учреждения</t>
        </r>
      </text>
    </comment>
    <comment ref="F347" authorId="0">
      <text>
        <r>
          <rPr>
            <sz val="10"/>
            <rFont val="Tahoma"/>
            <family val="2"/>
          </rPr>
          <t>270-управление;
330- учреждения</t>
        </r>
      </text>
    </comment>
  </commentList>
</comments>
</file>

<file path=xl/sharedStrings.xml><?xml version="1.0" encoding="utf-8"?>
<sst xmlns="http://schemas.openxmlformats.org/spreadsheetml/2006/main" count="488" uniqueCount="91">
  <si>
    <t xml:space="preserve">   Статус    </t>
  </si>
  <si>
    <t>Наименование муниципальной программы, подпрограммы муниципальной программы, основного мероприятия подпрограммы</t>
  </si>
  <si>
    <t xml:space="preserve">Источник  финансирования </t>
  </si>
  <si>
    <t xml:space="preserve">Оценка расходов, годы      </t>
  </si>
  <si>
    <t>Муниципальная программа муниципального образования муниципальный район «Троицко-Печорский» «Развитие образования»</t>
  </si>
  <si>
    <t>бюджет МР «Троицко-Печорский» &lt;1&gt;</t>
  </si>
  <si>
    <t xml:space="preserve">средства от приносящей доход деятельности   </t>
  </si>
  <si>
    <t xml:space="preserve">Подпрограмма 1 .     </t>
  </si>
  <si>
    <t xml:space="preserve">Подпрограмма 2 .         </t>
  </si>
  <si>
    <t>«Обеспечение реализации муниципальной программы»</t>
  </si>
  <si>
    <t>&lt;1&gt; Расходы только за счет средств бюджета МР «Троицко-Печорский, т.е. без учета средств, выделенных из федерального бюджета и республиканского бюджета Республики Коми.</t>
  </si>
  <si>
    <t>&lt;2&gt; Юридические лица - исполнители мероприятий муниципальной программы (подпрограммы).</t>
  </si>
  <si>
    <t xml:space="preserve">Муниципальная программа </t>
  </si>
  <si>
    <t xml:space="preserve">Всего:  в том числе:          </t>
  </si>
  <si>
    <t xml:space="preserve">федеральный бюджет    </t>
  </si>
  <si>
    <t xml:space="preserve">республиканский бюджет Республики Коми      </t>
  </si>
  <si>
    <t xml:space="preserve">юридические лица &lt;2&gt;   </t>
  </si>
  <si>
    <t>«Дополнительное образования»</t>
  </si>
  <si>
    <t xml:space="preserve">Подпрограмма 4.   </t>
  </si>
  <si>
    <t>«Развитие системы дошкольного и общего образования»</t>
  </si>
  <si>
    <t xml:space="preserve"> «Оздоровление, отдых детей и трудоустройство подростков»</t>
  </si>
  <si>
    <t xml:space="preserve">ЗАДАЧА1.1. Обеспечение  доступности  дошкольного и общего образования                                                                </t>
  </si>
  <si>
    <t xml:space="preserve">ЗАДАЧА 1.2.Обеспечение  качества дошкольного и общего образования  </t>
  </si>
  <si>
    <t>Задача 2.1.      Обеспечение доступности дополнительного образования</t>
  </si>
  <si>
    <t>Основное мероприятие 2.1.1. Оказание муниципальных услуг организациями дополнительного образования</t>
  </si>
  <si>
    <t xml:space="preserve">Основное мероприятие 2.2.1. Укрепление материально-технической базы и создание безопасных условий в муниципальных образовательных организациях </t>
  </si>
  <si>
    <t xml:space="preserve">Подпрограмма 3.         </t>
  </si>
  <si>
    <t>ЗАДАЧА 3.1. Оздоровление, отдых детей и трудоустройство подростков</t>
  </si>
  <si>
    <t xml:space="preserve">Основное мероприятие 3.1.1 Организация трудоустройства обучающихся </t>
  </si>
  <si>
    <t>ЗАДАЧА 4.1.Обеспечение деятельности подведомственных организаций</t>
  </si>
  <si>
    <t xml:space="preserve"> Основное мероприятие                                                                  4.1.1. Обеспечение деятельности подведомственных учреждений</t>
  </si>
  <si>
    <t>Основное мероприятие 2.1.4. Обеспечение роста уровня оплаты труда педагогических работников муниципальных организаций дополнительного образования</t>
  </si>
  <si>
    <t>Основное мероприятие 1.3.2. Предоставление мер социальной поддержки гражданам, заключившим договор о целевом обучении</t>
  </si>
  <si>
    <t xml:space="preserve">Основное мероприятие 1.3.1. Развитие професионального мастерства педогогов  образовательных организаций </t>
  </si>
  <si>
    <t xml:space="preserve">ЗАДАЧА 1.3. Развитие кадровых ресурсов                                                                           </t>
  </si>
  <si>
    <t>Ресурсное обеспечение и прогнозная (справочная) оценка расходов федерального бюджета, республиканского бюджета Республики Коми, бюджета МР «Троицко-Печорский»  и юридических лиц на реализацию целей муниципальной программы</t>
  </si>
  <si>
    <t>1.2.2.2. Социальная поддержка отдельных категорий обучающихся образовательных организаций</t>
  </si>
  <si>
    <t>1.2.2.1. Предоставление льготы по родительской плате, взимаемой за присмотр и уход за детьми в образовательных организациях, реализующих общеобразовательную программу дошкольного образования, отдельным категориям семей, имеющих детей дошкольного возраста</t>
  </si>
  <si>
    <t xml:space="preserve">1.1.1.1.Оказание муниципальных услуг организациями  дошкольного образования                      </t>
  </si>
  <si>
    <t>1.1.1.2.Реализация муниципальными дошкольными и муниципальными общеобразовательными организациями в Республике Коми образовательных программ.</t>
  </si>
  <si>
    <t>1.1.2.1. Оказание муниципальных услуг общеобразовательными организациями</t>
  </si>
  <si>
    <t>1.1.2.2.Реализация муниципальными дошкольными и муниципальными общеобразовательными организациями в Республике Коми образовательных программ.</t>
  </si>
  <si>
    <t>2.1.1.1.Оказание муниципальных услуг организациями дополнительного образования</t>
  </si>
  <si>
    <t xml:space="preserve"> Основное мероприятие 1.2.8. Мероприятия по организации питания обучающихся 1 - 4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</si>
  <si>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Основное мероприятие 1.2.6.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</si>
  <si>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Основное мероприятие 1.2.5. Строительство объектов социальной сферы в сельской местности</t>
  </si>
  <si>
    <t xml:space="preserve">Основное мероприятие 1.2.2. Социальная поддержка отдельных категорий обучающихся (воспитанников) образовательных организаций          </t>
  </si>
  <si>
    <t>Основное мероприятие 1.1.3. Реализация муниципальными дошкольными и муниципальными общеобразовательными организациями в Республике Коми образовательных программ.</t>
  </si>
  <si>
    <t>Основоное мероприятие 1.1.2. Оказание муниципальных услуг общеобразовательными организациями</t>
  </si>
  <si>
    <t xml:space="preserve">Основное мероприятие 1.1.1. Оказание муниципальных услуг организациями  дошкольного образования                      </t>
  </si>
  <si>
    <t>2021</t>
  </si>
  <si>
    <t>Основное мероприятие                                                     4.1.2.  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</si>
  <si>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Основное мероприятие 2.2.2. 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</si>
  <si>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Основное мероприятие 1.2.7. 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</si>
  <si>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2.1.1.2.Мероприятия, связанные с повышением оплаты труда отдельных категорий работников в сфере образования</t>
  </si>
  <si>
    <t>Основное мероприятие 1.2.4. Укрепление материально-технической базы и создание безопасных условий в организациях в сфере образования</t>
  </si>
  <si>
    <t xml:space="preserve"> 1.2.4.1.Укрепление материально-технической базы и создание безопасных условий в организациях в сфере образования</t>
  </si>
  <si>
    <t>Основное мероприятие 1.1.4. Реализация мер по привлечению специалистов для работы в учреждениях, финансируемых из бюджета муниципального района «Троицко – Печорский»</t>
  </si>
  <si>
    <t>Основное мероприятие 1.1.5. Организации и проведении государственной итоговой аттестации обучающихся, освоивших образовательные программы основного общего и среднего общего образования на территории муниципального района «Троицко – Печорский»</t>
  </si>
  <si>
    <t>Основное мероприятие 1.2.3. Поддержка одаренных и талантливых детей и молодёжи на территории муниципального района «Троицко – Печорский».</t>
  </si>
  <si>
    <t xml:space="preserve"> 1.2.4.2.Реализация народных проектов в сфере образования, прошедших отбор в рамках проекта «Народный бюджет»</t>
  </si>
  <si>
    <t>Основное мероприятие 1.2.9. Реализация народных проектов в сфере образования, прошедших отбор в рамках проекта «Народный бюджет»</t>
  </si>
  <si>
    <t xml:space="preserve">Задача 2.2.  Повышение качества дополнительного  образования </t>
  </si>
  <si>
    <t>2022</t>
  </si>
  <si>
    <t xml:space="preserve">ЗАДАЧА 1.4. Региональный проект "Современная школа"                                                            </t>
  </si>
  <si>
    <t>Основное мероприятие 1.4.1. Создание условий для формирования у обучающихся современных технологических и гуманитарных навыков</t>
  </si>
  <si>
    <t xml:space="preserve"> </t>
  </si>
  <si>
    <t xml:space="preserve"> 4.1.1.1 Обеспечение деятельности подведомственных учреждений</t>
  </si>
  <si>
    <t>4.1.1.2. Оплата муниципальными учреждениями расходов по коммунальным услугам</t>
  </si>
  <si>
    <t>3.1.2.1 Осуществление процесса оздоровления отдыха детей</t>
  </si>
  <si>
    <t>3.1.2.2.Обеспечение  оздоровителения и отдыха детей на территорий муниципального района «Троицко-Печорский»</t>
  </si>
  <si>
    <t>Основное мероприятие 3.1.2. Мероприятия по проведению оздоровительной кампании детей</t>
  </si>
  <si>
    <t>Основное мероприятие 4.1.3. Укрепление материально-технической базы и создание безопасных условий в организациях в сфере образования</t>
  </si>
  <si>
    <t>4.1.3.1.Укрепление материально-технической базы и создание безопасных условий в организациях в сфере образования</t>
  </si>
  <si>
    <t>Мероприятие 1.2.8.1. Мероприятия по организации питания обучающихся 1 - 4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</si>
  <si>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Мероприятие 1.2.8.2 Мероприятия по организации горячего питания обучающихся получающих начальное общее образование в муниципальных образовательных организациях</t>
  </si>
  <si>
    <t>1.1.1.4..Оплата муниципальными учреждениями расходов по коммунальным  услугам</t>
  </si>
  <si>
    <t>1.1.2.4..Оплата муниципальными учреждениями расходов по коммунальным  услугам</t>
  </si>
  <si>
    <t xml:space="preserve"> 1.1.2.5. Ежемесячное денежное вознаграждение за классное руководство педагогическим работникам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</si>
  <si>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1.1.1.3. Мероприятия, связанные с повышением оплаты труда отдельных категорий работников в сфере образования</t>
  </si>
  <si>
    <t>1.1.2.3. Мероприятия, связанные с повышением оплаты труда отдельных категорий работников в сфере образования</t>
  </si>
  <si>
    <t>2023</t>
  </si>
  <si>
    <t>Основное мероприятие 1.3.3. Ежемесячное денежное вознаграждение за классное руководство педагогическим работникам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</si>
  <si>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ЗАДАЧА 2.3. Федеральный проект "Успех каждого ребенкаа"</t>
  </si>
  <si>
    <t>«Приложение 6                                                                                             к Муниципальной программе                                                                                муниципального района                                    "Троицко-Печорский" "Развитие образования"                                    Таблица 6</t>
  </si>
  <si>
    <t>Основное мероприятие 2.3.1.Укрепление материально-технической базы и создание безопасных условий в организациях в сфере образования в Республике Коми</t>
  </si>
  <si>
    <t>Основное мероприятие 1.2.1. Организация досуговой деятельностий с обучающимися и воспитанниками.</t>
  </si>
  <si>
    <t>1.2.1.2.Проведение мероприятий, направленных на формирование у подрастающего поколения уважительного отношения ко всем национальностям, этносам и религиям</t>
  </si>
  <si>
    <t>1.2.1.1.Проведение мероприятий, направленных на противодействие терроризму и экстремизму в молодежной среде</t>
  </si>
  <si>
    <t>2.1.1.3.Оплата муниципальными учреждениями расходов по коммунальным  услугам</t>
  </si>
  <si>
    <t>Приложение № 2                                                                                                                                             к постановлению администрации муниципального района "Троицко - Печорский" от 18 октября 2021 г. № 10/1184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</si>
</sst>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Tahoma"/>
      <family val="2"/>
    </font>
    <font>
      <sz val="14"/>
      <name val="Times New Roman"/>
      <family val="1"/>
    </font>
    <font>
      <b/>
      <i/>
      <sz val="14"/>
      <color indexed="8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4"/>
      <color indexed="12"/>
      <name val="Times New Roman"/>
      <family val="1"/>
    </font>
    <font>
      <b/>
      <i/>
      <u val="single"/>
      <sz val="14"/>
      <color indexed="12"/>
      <name val="Times New Roman"/>
      <family val="1"/>
    </font>
    <font>
      <u val="single"/>
      <sz val="14"/>
      <color indexed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b/>
      <u val="single"/>
      <sz val="14"/>
      <color theme="10"/>
      <name val="Times New Roman"/>
      <family val="1"/>
    </font>
    <font>
      <b/>
      <i/>
      <sz val="14"/>
      <color theme="1"/>
      <name val="Times New Roman"/>
      <family val="1"/>
    </font>
    <font>
      <b/>
      <i/>
      <u val="single"/>
      <sz val="14"/>
      <color theme="10"/>
      <name val="Times New Roman"/>
      <family val="1"/>
    </font>
    <font>
      <u val="single"/>
      <sz val="14"/>
      <color theme="10"/>
      <name val="Times New Roman"/>
      <family val="1"/>
    </font>
    <font>
      <b/>
      <sz val="14"/>
      <color rgb="FF00000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4" fontId="48" fillId="33" borderId="0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right" vertical="top" wrapText="1"/>
    </xf>
    <xf numFmtId="4" fontId="3" fillId="33" borderId="11" xfId="0" applyNumberFormat="1" applyFont="1" applyFill="1" applyBorder="1" applyAlignment="1">
      <alignment horizontal="right" vertical="top" wrapText="1"/>
    </xf>
    <xf numFmtId="4" fontId="2" fillId="33" borderId="12" xfId="0" applyNumberFormat="1" applyFont="1" applyFill="1" applyBorder="1" applyAlignment="1">
      <alignment horizontal="right" vertical="top" wrapText="1"/>
    </xf>
    <xf numFmtId="4" fontId="2" fillId="33" borderId="11" xfId="0" applyNumberFormat="1" applyFont="1" applyFill="1" applyBorder="1" applyAlignment="1">
      <alignment horizontal="right" vertical="top" wrapText="1"/>
    </xf>
    <xf numFmtId="4" fontId="2" fillId="33" borderId="10" xfId="0" applyNumberFormat="1" applyFont="1" applyFill="1" applyBorder="1" applyAlignment="1">
      <alignment horizontal="right" vertical="top" wrapText="1"/>
    </xf>
    <xf numFmtId="4" fontId="48" fillId="33" borderId="10" xfId="0" applyNumberFormat="1" applyFont="1" applyFill="1" applyBorder="1" applyAlignment="1">
      <alignment/>
    </xf>
    <xf numFmtId="4" fontId="49" fillId="33" borderId="11" xfId="0" applyNumberFormat="1" applyFont="1" applyFill="1" applyBorder="1" applyAlignment="1">
      <alignment horizontal="right" vertical="top" wrapText="1"/>
    </xf>
    <xf numFmtId="4" fontId="6" fillId="33" borderId="11" xfId="0" applyNumberFormat="1" applyFont="1" applyFill="1" applyBorder="1" applyAlignment="1">
      <alignment horizontal="right" vertical="top" wrapText="1"/>
    </xf>
    <xf numFmtId="4" fontId="2" fillId="33" borderId="0" xfId="0" applyNumberFormat="1" applyFont="1" applyFill="1" applyBorder="1" applyAlignment="1">
      <alignment horizontal="right"/>
    </xf>
    <xf numFmtId="4" fontId="2" fillId="33" borderId="0" xfId="0" applyNumberFormat="1" applyFont="1" applyFill="1" applyAlignment="1">
      <alignment horizontal="right"/>
    </xf>
    <xf numFmtId="4" fontId="48" fillId="33" borderId="0" xfId="0" applyNumberFormat="1" applyFont="1" applyFill="1" applyAlignment="1">
      <alignment wrapText="1"/>
    </xf>
    <xf numFmtId="4" fontId="48" fillId="33" borderId="0" xfId="0" applyNumberFormat="1" applyFont="1" applyFill="1" applyAlignment="1">
      <alignment/>
    </xf>
    <xf numFmtId="3" fontId="2" fillId="33" borderId="11" xfId="0" applyNumberFormat="1" applyFont="1" applyFill="1" applyBorder="1" applyAlignment="1">
      <alignment horizontal="center" vertical="top" wrapText="1"/>
    </xf>
    <xf numFmtId="4" fontId="48" fillId="33" borderId="11" xfId="0" applyNumberFormat="1" applyFont="1" applyFill="1" applyBorder="1" applyAlignment="1">
      <alignment/>
    </xf>
    <xf numFmtId="0" fontId="48" fillId="33" borderId="0" xfId="0" applyFont="1" applyFill="1" applyAlignment="1">
      <alignment horizontal="left"/>
    </xf>
    <xf numFmtId="0" fontId="48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vertical="top" wrapText="1"/>
    </xf>
    <xf numFmtId="4" fontId="50" fillId="33" borderId="0" xfId="0" applyNumberFormat="1" applyFont="1" applyFill="1" applyAlignment="1">
      <alignment/>
    </xf>
    <xf numFmtId="0" fontId="50" fillId="33" borderId="0" xfId="0" applyFont="1" applyFill="1" applyAlignment="1">
      <alignment/>
    </xf>
    <xf numFmtId="0" fontId="51" fillId="33" borderId="11" xfId="42" applyFont="1" applyFill="1" applyBorder="1" applyAlignment="1" applyProtection="1">
      <alignment vertical="top" wrapText="1"/>
      <protection/>
    </xf>
    <xf numFmtId="0" fontId="6" fillId="33" borderId="13" xfId="0" applyFont="1" applyFill="1" applyBorder="1" applyAlignment="1">
      <alignment horizontal="left" vertical="top" wrapText="1"/>
    </xf>
    <xf numFmtId="0" fontId="52" fillId="33" borderId="0" xfId="0" applyFont="1" applyFill="1" applyAlignment="1">
      <alignment/>
    </xf>
    <xf numFmtId="0" fontId="6" fillId="33" borderId="13" xfId="0" applyFont="1" applyFill="1" applyBorder="1" applyAlignment="1">
      <alignment vertical="top" wrapText="1"/>
    </xf>
    <xf numFmtId="0" fontId="53" fillId="33" borderId="11" xfId="42" applyFont="1" applyFill="1" applyBorder="1" applyAlignment="1" applyProtection="1">
      <alignment vertical="top" wrapText="1"/>
      <protection/>
    </xf>
    <xf numFmtId="4" fontId="2" fillId="33" borderId="13" xfId="0" applyNumberFormat="1" applyFont="1" applyFill="1" applyBorder="1" applyAlignment="1">
      <alignment horizontal="right" vertical="top" wrapText="1"/>
    </xf>
    <xf numFmtId="0" fontId="2" fillId="33" borderId="13" xfId="0" applyFont="1" applyFill="1" applyBorder="1" applyAlignment="1">
      <alignment vertical="top" wrapText="1"/>
    </xf>
    <xf numFmtId="0" fontId="54" fillId="33" borderId="11" xfId="42" applyFont="1" applyFill="1" applyBorder="1" applyAlignment="1" applyProtection="1">
      <alignment vertical="top" wrapText="1"/>
      <protection/>
    </xf>
    <xf numFmtId="0" fontId="2" fillId="33" borderId="14" xfId="0" applyFont="1" applyFill="1" applyBorder="1" applyAlignment="1">
      <alignment vertical="top" wrapText="1"/>
    </xf>
    <xf numFmtId="0" fontId="54" fillId="33" borderId="11" xfId="42" applyFont="1" applyFill="1" applyBorder="1" applyAlignment="1" applyProtection="1">
      <alignment horizontal="left" vertical="top" wrapText="1"/>
      <protection/>
    </xf>
    <xf numFmtId="4" fontId="5" fillId="33" borderId="11" xfId="0" applyNumberFormat="1" applyFont="1" applyFill="1" applyBorder="1" applyAlignment="1">
      <alignment vertical="top" wrapText="1"/>
    </xf>
    <xf numFmtId="0" fontId="53" fillId="33" borderId="11" xfId="42" applyFont="1" applyFill="1" applyBorder="1" applyAlignment="1" applyProtection="1">
      <alignment horizontal="left" vertical="top" wrapText="1"/>
      <protection/>
    </xf>
    <xf numFmtId="0" fontId="51" fillId="33" borderId="11" xfId="42" applyFont="1" applyFill="1" applyBorder="1" applyAlignment="1" applyProtection="1">
      <alignment horizontal="left" vertical="top" wrapText="1"/>
      <protection/>
    </xf>
    <xf numFmtId="0" fontId="48" fillId="33" borderId="0" xfId="0" applyFont="1" applyFill="1" applyBorder="1" applyAlignment="1">
      <alignment wrapText="1"/>
    </xf>
    <xf numFmtId="0" fontId="48" fillId="33" borderId="0" xfId="0" applyFont="1" applyFill="1" applyAlignment="1">
      <alignment horizontal="left" wrapText="1"/>
    </xf>
    <xf numFmtId="0" fontId="48" fillId="33" borderId="0" xfId="0" applyFont="1" applyFill="1" applyAlignment="1">
      <alignment wrapText="1"/>
    </xf>
    <xf numFmtId="4" fontId="48" fillId="33" borderId="0" xfId="0" applyNumberFormat="1" applyFont="1" applyFill="1" applyBorder="1" applyAlignment="1">
      <alignment wrapText="1"/>
    </xf>
    <xf numFmtId="0" fontId="48" fillId="33" borderId="0" xfId="0" applyFont="1" applyFill="1" applyBorder="1" applyAlignment="1">
      <alignment/>
    </xf>
    <xf numFmtId="0" fontId="48" fillId="33" borderId="11" xfId="0" applyFont="1" applyFill="1" applyBorder="1" applyAlignment="1">
      <alignment/>
    </xf>
    <xf numFmtId="0" fontId="2" fillId="33" borderId="11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wrapText="1"/>
    </xf>
    <xf numFmtId="0" fontId="2" fillId="33" borderId="14" xfId="0" applyFont="1" applyFill="1" applyBorder="1" applyAlignment="1">
      <alignment wrapText="1"/>
    </xf>
    <xf numFmtId="0" fontId="2" fillId="33" borderId="15" xfId="0" applyFont="1" applyFill="1" applyBorder="1" applyAlignment="1">
      <alignment wrapText="1"/>
    </xf>
    <xf numFmtId="0" fontId="3" fillId="33" borderId="11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 vertical="center" wrapText="1"/>
    </xf>
    <xf numFmtId="4" fontId="55" fillId="33" borderId="11" xfId="0" applyNumberFormat="1" applyFont="1" applyFill="1" applyBorder="1" applyAlignment="1">
      <alignment horizontal="right" vertical="top" wrapText="1"/>
    </xf>
    <xf numFmtId="0" fontId="48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43" fontId="5" fillId="0" borderId="11" xfId="62" applyFont="1" applyFill="1" applyBorder="1" applyAlignment="1">
      <alignment horizontal="right" vertical="center" wrapText="1"/>
    </xf>
    <xf numFmtId="0" fontId="2" fillId="33" borderId="13" xfId="0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2" fillId="33" borderId="13" xfId="0" applyFont="1" applyFill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4" fontId="48" fillId="33" borderId="0" xfId="0" applyNumberFormat="1" applyFont="1" applyFill="1" applyBorder="1" applyAlignment="1">
      <alignment horizontal="right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top" wrapText="1"/>
    </xf>
    <xf numFmtId="0" fontId="7" fillId="33" borderId="13" xfId="0" applyFont="1" applyFill="1" applyBorder="1" applyAlignment="1">
      <alignment horizontal="left" vertical="top" wrapText="1"/>
    </xf>
    <xf numFmtId="0" fontId="7" fillId="33" borderId="14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left" vertical="top" wrapText="1"/>
    </xf>
    <xf numFmtId="49" fontId="2" fillId="33" borderId="11" xfId="0" applyNumberFormat="1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horizontal="left" vertical="top" wrapText="1"/>
    </xf>
    <xf numFmtId="0" fontId="5" fillId="33" borderId="15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6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0" fontId="2" fillId="33" borderId="18" xfId="0" applyFont="1" applyFill="1" applyBorder="1" applyAlignment="1">
      <alignment horizontal="left" vertical="top" wrapText="1"/>
    </xf>
    <xf numFmtId="16" fontId="48" fillId="33" borderId="16" xfId="0" applyNumberFormat="1" applyFont="1" applyFill="1" applyBorder="1" applyAlignment="1">
      <alignment horizontal="left" vertical="top" wrapText="1"/>
    </xf>
    <xf numFmtId="0" fontId="48" fillId="33" borderId="17" xfId="0" applyFont="1" applyFill="1" applyBorder="1" applyAlignment="1">
      <alignment horizontal="left" vertical="top" wrapText="1"/>
    </xf>
    <xf numFmtId="0" fontId="48" fillId="33" borderId="18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2" fillId="33" borderId="0" xfId="0" applyFont="1" applyFill="1" applyAlignment="1">
      <alignment wrapText="1"/>
    </xf>
    <xf numFmtId="0" fontId="6" fillId="33" borderId="14" xfId="0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wrapText="1"/>
    </xf>
    <xf numFmtId="0" fontId="2" fillId="33" borderId="14" xfId="0" applyFont="1" applyFill="1" applyBorder="1" applyAlignment="1">
      <alignment wrapText="1"/>
    </xf>
    <xf numFmtId="0" fontId="2" fillId="33" borderId="15" xfId="0" applyFont="1" applyFill="1" applyBorder="1" applyAlignment="1">
      <alignment wrapText="1"/>
    </xf>
    <xf numFmtId="0" fontId="48" fillId="33" borderId="16" xfId="0" applyFont="1" applyFill="1" applyBorder="1" applyAlignment="1">
      <alignment horizontal="left" vertical="top" wrapText="1"/>
    </xf>
    <xf numFmtId="0" fontId="48" fillId="33" borderId="13" xfId="0" applyFont="1" applyFill="1" applyBorder="1" applyAlignment="1">
      <alignment horizontal="left" vertical="top" wrapText="1"/>
    </xf>
    <xf numFmtId="0" fontId="48" fillId="33" borderId="14" xfId="0" applyFont="1" applyFill="1" applyBorder="1" applyAlignment="1">
      <alignment horizontal="left" vertical="top" wrapText="1"/>
    </xf>
    <xf numFmtId="0" fontId="48" fillId="33" borderId="15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wrapText="1"/>
    </xf>
    <xf numFmtId="0" fontId="2" fillId="33" borderId="19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48" fillId="33" borderId="0" xfId="0" applyFont="1" applyFill="1" applyBorder="1" applyAlignment="1">
      <alignment horizontal="right" wrapText="1"/>
    </xf>
    <xf numFmtId="0" fontId="0" fillId="0" borderId="0" xfId="0" applyAlignment="1">
      <alignment horizontal="right" wrapText="1"/>
    </xf>
    <xf numFmtId="4" fontId="2" fillId="33" borderId="11" xfId="0" applyNumberFormat="1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2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3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4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5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6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7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8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9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10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11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12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13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14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15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16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17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18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19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20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21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22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23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24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25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26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27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28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29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30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31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32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33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34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35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36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37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38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39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40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41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42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43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44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45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46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47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48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49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50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51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52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53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54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55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56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57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58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59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60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61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62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63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64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65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66" Type="http://schemas.openxmlformats.org/officeDocument/2006/relationships/comments" Target="../comments1.xml" /><Relationship Id="rId67" Type="http://schemas.openxmlformats.org/officeDocument/2006/relationships/vmlDrawing" Target="../drawings/vmlDrawing1.vml" /><Relationship Id="rId6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0"/>
  <sheetViews>
    <sheetView tabSelected="1" zoomScale="46" zoomScaleNormal="46" zoomScaleSheetLayoutView="80" zoomScalePageLayoutView="53" workbookViewId="0" topLeftCell="A1">
      <selection activeCell="U6" sqref="U6"/>
    </sheetView>
  </sheetViews>
  <sheetFormatPr defaultColWidth="9.140625" defaultRowHeight="15" outlineLevelRow="2" outlineLevelCol="1"/>
  <cols>
    <col min="1" max="1" width="45.140625" style="17" customWidth="1"/>
    <col min="2" max="2" width="29.57421875" style="18" customWidth="1"/>
    <col min="3" max="3" width="35.00390625" style="18" customWidth="1"/>
    <col min="4" max="4" width="20.28125" style="14" customWidth="1" outlineLevel="1"/>
    <col min="5" max="5" width="20.421875" style="14" customWidth="1" outlineLevel="1"/>
    <col min="6" max="6" width="21.57421875" style="14" customWidth="1" outlineLevel="1"/>
    <col min="7" max="7" width="19.8515625" style="14" customWidth="1" outlineLevel="1"/>
    <col min="8" max="8" width="21.28125" style="16" customWidth="1"/>
    <col min="9" max="9" width="20.7109375" style="16" customWidth="1"/>
    <col min="10" max="12" width="20.421875" style="18" customWidth="1"/>
    <col min="13" max="13" width="9.140625" style="18" customWidth="1"/>
    <col min="14" max="14" width="16.421875" style="18" bestFit="1" customWidth="1"/>
    <col min="15" max="16384" width="9.140625" style="18" customWidth="1"/>
  </cols>
  <sheetData>
    <row r="1" spans="2:12" ht="72" customHeight="1">
      <c r="B1" s="69"/>
      <c r="D1" s="18"/>
      <c r="E1" s="18"/>
      <c r="G1" s="41"/>
      <c r="H1" s="78" t="s">
        <v>90</v>
      </c>
      <c r="I1" s="78"/>
      <c r="J1" s="78"/>
      <c r="K1" s="78"/>
      <c r="L1" s="78"/>
    </row>
    <row r="2" spans="1:12" ht="114.75" customHeight="1">
      <c r="A2" s="70"/>
      <c r="B2" s="20"/>
      <c r="C2" s="20"/>
      <c r="D2" s="12"/>
      <c r="E2" s="12"/>
      <c r="F2" s="12"/>
      <c r="G2" s="1"/>
      <c r="H2" s="1"/>
      <c r="I2" s="42"/>
      <c r="J2" s="42"/>
      <c r="K2" s="132" t="s">
        <v>84</v>
      </c>
      <c r="L2" s="133"/>
    </row>
    <row r="3" spans="1:12" ht="63.75" customHeight="1">
      <c r="A3" s="123" t="s">
        <v>35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67"/>
    </row>
    <row r="4" spans="1:12" ht="33.75" customHeight="1">
      <c r="A4" s="79" t="s">
        <v>0</v>
      </c>
      <c r="B4" s="94" t="s">
        <v>1</v>
      </c>
      <c r="C4" s="94" t="s">
        <v>2</v>
      </c>
      <c r="D4" s="134" t="s">
        <v>3</v>
      </c>
      <c r="E4" s="134"/>
      <c r="F4" s="134"/>
      <c r="G4" s="134"/>
      <c r="H4" s="134"/>
      <c r="I4" s="134"/>
      <c r="J4" s="134"/>
      <c r="K4" s="134"/>
      <c r="L4" s="134"/>
    </row>
    <row r="5" spans="1:12" ht="15.75" customHeight="1">
      <c r="A5" s="79"/>
      <c r="B5" s="94"/>
      <c r="C5" s="94"/>
      <c r="D5" s="86">
        <v>2015</v>
      </c>
      <c r="E5" s="86">
        <v>2016</v>
      </c>
      <c r="F5" s="86">
        <v>2017</v>
      </c>
      <c r="G5" s="106">
        <v>2018</v>
      </c>
      <c r="H5" s="86">
        <v>2019</v>
      </c>
      <c r="I5" s="86">
        <v>2020</v>
      </c>
      <c r="J5" s="86" t="s">
        <v>50</v>
      </c>
      <c r="K5" s="86" t="s">
        <v>63</v>
      </c>
      <c r="L5" s="86" t="s">
        <v>81</v>
      </c>
    </row>
    <row r="6" spans="1:12" ht="111" customHeight="1">
      <c r="A6" s="79"/>
      <c r="B6" s="94"/>
      <c r="C6" s="94"/>
      <c r="D6" s="86"/>
      <c r="E6" s="86"/>
      <c r="F6" s="86"/>
      <c r="G6" s="106"/>
      <c r="H6" s="86"/>
      <c r="I6" s="86"/>
      <c r="J6" s="86"/>
      <c r="K6" s="86"/>
      <c r="L6" s="86"/>
    </row>
    <row r="7" spans="1:12" ht="18.75">
      <c r="A7" s="49">
        <v>1</v>
      </c>
      <c r="B7" s="21">
        <v>2</v>
      </c>
      <c r="C7" s="21">
        <v>3</v>
      </c>
      <c r="D7" s="2">
        <v>4</v>
      </c>
      <c r="E7" s="2">
        <v>5</v>
      </c>
      <c r="F7" s="2">
        <v>6</v>
      </c>
      <c r="G7" s="2">
        <v>7</v>
      </c>
      <c r="H7" s="15">
        <v>8</v>
      </c>
      <c r="I7" s="15">
        <v>9</v>
      </c>
      <c r="J7" s="15">
        <v>10</v>
      </c>
      <c r="K7" s="15">
        <v>11</v>
      </c>
      <c r="L7" s="15">
        <v>11</v>
      </c>
    </row>
    <row r="8" spans="1:14" s="24" customFormat="1" ht="36" customHeight="1">
      <c r="A8" s="84" t="s">
        <v>12</v>
      </c>
      <c r="B8" s="102" t="s">
        <v>4</v>
      </c>
      <c r="C8" s="22" t="s">
        <v>13</v>
      </c>
      <c r="D8" s="4">
        <f aca="true" t="shared" si="0" ref="D8:L8">D14+D254+D326+D362</f>
        <v>283465632.42</v>
      </c>
      <c r="E8" s="4">
        <f t="shared" si="0"/>
        <v>277818881.99</v>
      </c>
      <c r="F8" s="4">
        <f t="shared" si="0"/>
        <v>282409006.61</v>
      </c>
      <c r="G8" s="3">
        <f t="shared" si="0"/>
        <v>335608001.42999995</v>
      </c>
      <c r="H8" s="4">
        <f t="shared" si="0"/>
        <v>350222103.77000004</v>
      </c>
      <c r="I8" s="4">
        <f t="shared" si="0"/>
        <v>360857591.31999993</v>
      </c>
      <c r="J8" s="4">
        <f t="shared" si="0"/>
        <v>369742637.53999996</v>
      </c>
      <c r="K8" s="4">
        <f t="shared" si="0"/>
        <v>353807619.68</v>
      </c>
      <c r="L8" s="4">
        <f t="shared" si="0"/>
        <v>350363063.05</v>
      </c>
      <c r="N8" s="68"/>
    </row>
    <row r="9" spans="1:12" s="24" customFormat="1" ht="36" customHeight="1">
      <c r="A9" s="85"/>
      <c r="B9" s="102"/>
      <c r="C9" s="22" t="s">
        <v>14</v>
      </c>
      <c r="D9" s="4">
        <f aca="true" t="shared" si="1" ref="D9:L9">D15+D255+D327+D363</f>
        <v>2500000</v>
      </c>
      <c r="E9" s="4">
        <f t="shared" si="1"/>
        <v>0</v>
      </c>
      <c r="F9" s="4">
        <f t="shared" si="1"/>
        <v>0</v>
      </c>
      <c r="G9" s="3">
        <f t="shared" si="1"/>
        <v>0</v>
      </c>
      <c r="H9" s="4">
        <f t="shared" si="1"/>
        <v>0</v>
      </c>
      <c r="I9" s="4">
        <f t="shared" si="1"/>
        <v>6028970</v>
      </c>
      <c r="J9" s="4">
        <f t="shared" si="1"/>
        <v>17173749.79</v>
      </c>
      <c r="K9" s="4">
        <f t="shared" si="1"/>
        <v>17467571.42</v>
      </c>
      <c r="L9" s="4">
        <f t="shared" si="1"/>
        <v>17340131.75</v>
      </c>
    </row>
    <row r="10" spans="1:12" s="24" customFormat="1" ht="36" customHeight="1">
      <c r="A10" s="85"/>
      <c r="B10" s="102"/>
      <c r="C10" s="47" t="s">
        <v>15</v>
      </c>
      <c r="D10" s="4">
        <f aca="true" t="shared" si="2" ref="D10:L10">D16+D256+D328+D364</f>
        <v>181158853.32999998</v>
      </c>
      <c r="E10" s="4">
        <f t="shared" si="2"/>
        <v>174198320.97</v>
      </c>
      <c r="F10" s="4">
        <f t="shared" si="2"/>
        <v>163653858.75</v>
      </c>
      <c r="G10" s="3">
        <f t="shared" si="2"/>
        <v>207636782</v>
      </c>
      <c r="H10" s="4">
        <f t="shared" si="2"/>
        <v>246468076.4</v>
      </c>
      <c r="I10" s="4">
        <f t="shared" si="2"/>
        <v>250163726.83</v>
      </c>
      <c r="J10" s="4">
        <f t="shared" si="2"/>
        <v>257921128.91</v>
      </c>
      <c r="K10" s="4">
        <f t="shared" si="2"/>
        <v>259115211.28</v>
      </c>
      <c r="L10" s="4">
        <f t="shared" si="2"/>
        <v>259065650.95</v>
      </c>
    </row>
    <row r="11" spans="1:12" s="24" customFormat="1" ht="36" customHeight="1">
      <c r="A11" s="85"/>
      <c r="B11" s="102"/>
      <c r="C11" s="25" t="s">
        <v>5</v>
      </c>
      <c r="D11" s="4">
        <f aca="true" t="shared" si="3" ref="D11:L11">D17+D257+D329+D365</f>
        <v>99806779.09</v>
      </c>
      <c r="E11" s="4">
        <f t="shared" si="3"/>
        <v>103620561.02000001</v>
      </c>
      <c r="F11" s="4">
        <f t="shared" si="3"/>
        <v>118755147.86000001</v>
      </c>
      <c r="G11" s="3">
        <f t="shared" si="3"/>
        <v>127971219.42999999</v>
      </c>
      <c r="H11" s="4">
        <f t="shared" si="3"/>
        <v>103754027.37</v>
      </c>
      <c r="I11" s="4">
        <f t="shared" si="3"/>
        <v>104664894.49</v>
      </c>
      <c r="J11" s="4">
        <f t="shared" si="3"/>
        <v>94647758.84</v>
      </c>
      <c r="K11" s="4">
        <f t="shared" si="3"/>
        <v>77224836.97999999</v>
      </c>
      <c r="L11" s="4">
        <f t="shared" si="3"/>
        <v>73957280.35</v>
      </c>
    </row>
    <row r="12" spans="1:12" s="24" customFormat="1" ht="36" customHeight="1">
      <c r="A12" s="85"/>
      <c r="B12" s="102"/>
      <c r="C12" s="55" t="s">
        <v>6</v>
      </c>
      <c r="D12" s="4">
        <f aca="true" t="shared" si="4" ref="D12:L12">D18+D258+D330+D366</f>
        <v>0</v>
      </c>
      <c r="E12" s="4">
        <f t="shared" si="4"/>
        <v>0</v>
      </c>
      <c r="F12" s="4">
        <f t="shared" si="4"/>
        <v>0</v>
      </c>
      <c r="G12" s="3">
        <f t="shared" si="4"/>
        <v>0</v>
      </c>
      <c r="H12" s="4">
        <f t="shared" si="4"/>
        <v>0</v>
      </c>
      <c r="I12" s="4">
        <f t="shared" si="4"/>
        <v>0</v>
      </c>
      <c r="J12" s="4">
        <f t="shared" si="4"/>
        <v>0</v>
      </c>
      <c r="K12" s="4">
        <f t="shared" si="4"/>
        <v>0</v>
      </c>
      <c r="L12" s="4">
        <f t="shared" si="4"/>
        <v>0</v>
      </c>
    </row>
    <row r="13" spans="1:12" s="24" customFormat="1" ht="36" customHeight="1">
      <c r="A13" s="85"/>
      <c r="B13" s="102"/>
      <c r="C13" s="47" t="s">
        <v>16</v>
      </c>
      <c r="D13" s="4">
        <f aca="true" t="shared" si="5" ref="D13:L13">D19+D259+D331+D367</f>
        <v>0</v>
      </c>
      <c r="E13" s="4">
        <f t="shared" si="5"/>
        <v>0</v>
      </c>
      <c r="F13" s="4">
        <f t="shared" si="5"/>
        <v>0</v>
      </c>
      <c r="G13" s="3">
        <f t="shared" si="5"/>
        <v>0</v>
      </c>
      <c r="H13" s="4">
        <f t="shared" si="5"/>
        <v>0</v>
      </c>
      <c r="I13" s="4">
        <f t="shared" si="5"/>
        <v>0</v>
      </c>
      <c r="J13" s="4">
        <f t="shared" si="5"/>
        <v>0</v>
      </c>
      <c r="K13" s="4">
        <f t="shared" si="5"/>
        <v>0</v>
      </c>
      <c r="L13" s="4">
        <f t="shared" si="5"/>
        <v>0</v>
      </c>
    </row>
    <row r="14" spans="1:12" s="27" customFormat="1" ht="36.75" customHeight="1">
      <c r="A14" s="87" t="s">
        <v>7</v>
      </c>
      <c r="B14" s="105" t="s">
        <v>19</v>
      </c>
      <c r="C14" s="26" t="s">
        <v>13</v>
      </c>
      <c r="D14" s="10">
        <f aca="true" t="shared" si="6" ref="D14:L14">D20+D110+D218+D242</f>
        <v>253558014.24</v>
      </c>
      <c r="E14" s="10">
        <f t="shared" si="6"/>
        <v>246920769.75</v>
      </c>
      <c r="F14" s="10">
        <f t="shared" si="6"/>
        <v>251967797.84</v>
      </c>
      <c r="G14" s="10">
        <f t="shared" si="6"/>
        <v>300648962.26</v>
      </c>
      <c r="H14" s="10">
        <f t="shared" si="6"/>
        <v>313193203.12</v>
      </c>
      <c r="I14" s="10">
        <f t="shared" si="6"/>
        <v>320286947.3299999</v>
      </c>
      <c r="J14" s="10">
        <f t="shared" si="6"/>
        <v>328239980.59</v>
      </c>
      <c r="K14" s="10">
        <f t="shared" si="6"/>
        <v>318058865.74</v>
      </c>
      <c r="L14" s="10">
        <f t="shared" si="6"/>
        <v>315211259.62</v>
      </c>
    </row>
    <row r="15" spans="1:12" s="27" customFormat="1" ht="36.75" customHeight="1">
      <c r="A15" s="87"/>
      <c r="B15" s="105"/>
      <c r="C15" s="26" t="s">
        <v>14</v>
      </c>
      <c r="D15" s="10">
        <f aca="true" t="shared" si="7" ref="D15:L15">D21+D111+D219+D243</f>
        <v>2500000</v>
      </c>
      <c r="E15" s="10">
        <f t="shared" si="7"/>
        <v>0</v>
      </c>
      <c r="F15" s="10">
        <f t="shared" si="7"/>
        <v>0</v>
      </c>
      <c r="G15" s="10">
        <f t="shared" si="7"/>
        <v>0</v>
      </c>
      <c r="H15" s="10">
        <f t="shared" si="7"/>
        <v>0</v>
      </c>
      <c r="I15" s="10">
        <f t="shared" si="7"/>
        <v>6028970</v>
      </c>
      <c r="J15" s="10">
        <f t="shared" si="7"/>
        <v>17173749.79</v>
      </c>
      <c r="K15" s="10">
        <f t="shared" si="7"/>
        <v>17467571.42</v>
      </c>
      <c r="L15" s="10">
        <f t="shared" si="7"/>
        <v>17340131.75</v>
      </c>
    </row>
    <row r="16" spans="1:12" s="27" customFormat="1" ht="36.75" customHeight="1">
      <c r="A16" s="87"/>
      <c r="B16" s="105"/>
      <c r="C16" s="28" t="s">
        <v>15</v>
      </c>
      <c r="D16" s="10">
        <f aca="true" t="shared" si="8" ref="D16:L16">D22+D112+D220+D244</f>
        <v>180068928.82</v>
      </c>
      <c r="E16" s="10">
        <f t="shared" si="8"/>
        <v>173249141.7</v>
      </c>
      <c r="F16" s="10">
        <f t="shared" si="8"/>
        <v>161725935.97</v>
      </c>
      <c r="G16" s="10">
        <f t="shared" si="8"/>
        <v>205071195</v>
      </c>
      <c r="H16" s="10">
        <f t="shared" si="8"/>
        <v>241151910.4</v>
      </c>
      <c r="I16" s="10">
        <f t="shared" si="8"/>
        <v>244394312.08</v>
      </c>
      <c r="J16" s="10">
        <f t="shared" si="8"/>
        <v>250445598.91</v>
      </c>
      <c r="K16" s="10">
        <f t="shared" si="8"/>
        <v>251629451.28</v>
      </c>
      <c r="L16" s="10">
        <f t="shared" si="8"/>
        <v>251579890.95</v>
      </c>
    </row>
    <row r="17" spans="1:12" s="27" customFormat="1" ht="36.75" customHeight="1">
      <c r="A17" s="87"/>
      <c r="B17" s="105"/>
      <c r="C17" s="29" t="s">
        <v>5</v>
      </c>
      <c r="D17" s="10">
        <f aca="true" t="shared" si="9" ref="D17:L17">D23+D113+D221+D245</f>
        <v>70989085.42</v>
      </c>
      <c r="E17" s="10">
        <f t="shared" si="9"/>
        <v>73671628.05</v>
      </c>
      <c r="F17" s="10">
        <f t="shared" si="9"/>
        <v>90241861.87</v>
      </c>
      <c r="G17" s="10">
        <f t="shared" si="9"/>
        <v>95577767.25999999</v>
      </c>
      <c r="H17" s="10">
        <f t="shared" si="9"/>
        <v>72041292.72</v>
      </c>
      <c r="I17" s="10">
        <f t="shared" si="9"/>
        <v>69863665.24999999</v>
      </c>
      <c r="J17" s="10">
        <f t="shared" si="9"/>
        <v>60620631.89</v>
      </c>
      <c r="K17" s="10">
        <f t="shared" si="9"/>
        <v>48961843.04</v>
      </c>
      <c r="L17" s="10">
        <f t="shared" si="9"/>
        <v>46291236.92</v>
      </c>
    </row>
    <row r="18" spans="1:12" s="27" customFormat="1" ht="36.75" customHeight="1">
      <c r="A18" s="87"/>
      <c r="B18" s="105"/>
      <c r="C18" s="50" t="s">
        <v>6</v>
      </c>
      <c r="D18" s="10">
        <f aca="true" t="shared" si="10" ref="D18:L18">D24+D114+D222+D246</f>
        <v>0</v>
      </c>
      <c r="E18" s="10">
        <f t="shared" si="10"/>
        <v>0</v>
      </c>
      <c r="F18" s="10">
        <f t="shared" si="10"/>
        <v>0</v>
      </c>
      <c r="G18" s="10">
        <f t="shared" si="10"/>
        <v>0</v>
      </c>
      <c r="H18" s="10">
        <f t="shared" si="10"/>
        <v>0</v>
      </c>
      <c r="I18" s="10">
        <f t="shared" si="10"/>
        <v>0</v>
      </c>
      <c r="J18" s="10">
        <f t="shared" si="10"/>
        <v>0</v>
      </c>
      <c r="K18" s="10">
        <f t="shared" si="10"/>
        <v>0</v>
      </c>
      <c r="L18" s="10">
        <f t="shared" si="10"/>
        <v>0</v>
      </c>
    </row>
    <row r="19" spans="1:12" s="27" customFormat="1" ht="36.75" customHeight="1">
      <c r="A19" s="87"/>
      <c r="B19" s="105"/>
      <c r="C19" s="26" t="s">
        <v>16</v>
      </c>
      <c r="D19" s="10">
        <f aca="true" t="shared" si="11" ref="D19:L19">D25+D115+D223+D247</f>
        <v>0</v>
      </c>
      <c r="E19" s="10">
        <f t="shared" si="11"/>
        <v>0</v>
      </c>
      <c r="F19" s="10">
        <f t="shared" si="11"/>
        <v>0</v>
      </c>
      <c r="G19" s="10">
        <f t="shared" si="11"/>
        <v>0</v>
      </c>
      <c r="H19" s="10">
        <f t="shared" si="11"/>
        <v>0</v>
      </c>
      <c r="I19" s="10">
        <f t="shared" si="11"/>
        <v>0</v>
      </c>
      <c r="J19" s="10">
        <f t="shared" si="11"/>
        <v>0</v>
      </c>
      <c r="K19" s="10">
        <f t="shared" si="11"/>
        <v>0</v>
      </c>
      <c r="L19" s="10">
        <f t="shared" si="11"/>
        <v>0</v>
      </c>
    </row>
    <row r="20" spans="1:13" s="24" customFormat="1" ht="36.75" customHeight="1" outlineLevel="1">
      <c r="A20" s="84" t="s">
        <v>21</v>
      </c>
      <c r="B20" s="102"/>
      <c r="C20" s="47" t="s">
        <v>13</v>
      </c>
      <c r="D20" s="4">
        <f aca="true" t="shared" si="12" ref="D20:I25">D92+D26+D56+D98+D104</f>
        <v>226533727.82</v>
      </c>
      <c r="E20" s="4">
        <f t="shared" si="12"/>
        <v>223603580.65</v>
      </c>
      <c r="F20" s="4">
        <f t="shared" si="12"/>
        <v>219585236.61</v>
      </c>
      <c r="G20" s="4">
        <f t="shared" si="12"/>
        <v>274281005.97999996</v>
      </c>
      <c r="H20" s="4">
        <f t="shared" si="12"/>
        <v>283993536.64</v>
      </c>
      <c r="I20" s="4">
        <f t="shared" si="12"/>
        <v>290699720.79999995</v>
      </c>
      <c r="J20" s="4">
        <f aca="true" t="shared" si="13" ref="J20:L25">J92+J26+J56+J98+J104</f>
        <v>289038132.46999997</v>
      </c>
      <c r="K20" s="4">
        <f t="shared" si="13"/>
        <v>288312238.86</v>
      </c>
      <c r="L20" s="4">
        <f t="shared" si="13"/>
        <v>285643420.62</v>
      </c>
      <c r="M20" s="23"/>
    </row>
    <row r="21" spans="1:12" s="24" customFormat="1" ht="36.75" customHeight="1" outlineLevel="1">
      <c r="A21" s="85"/>
      <c r="B21" s="102"/>
      <c r="C21" s="22" t="s">
        <v>14</v>
      </c>
      <c r="D21" s="4">
        <f t="shared" si="12"/>
        <v>0</v>
      </c>
      <c r="E21" s="4">
        <f t="shared" si="12"/>
        <v>0</v>
      </c>
      <c r="F21" s="4">
        <f t="shared" si="12"/>
        <v>0</v>
      </c>
      <c r="G21" s="4">
        <f t="shared" si="12"/>
        <v>0</v>
      </c>
      <c r="H21" s="4">
        <f t="shared" si="12"/>
        <v>0</v>
      </c>
      <c r="I21" s="4">
        <f t="shared" si="12"/>
        <v>4397200</v>
      </c>
      <c r="J21" s="4">
        <f t="shared" si="13"/>
        <v>0</v>
      </c>
      <c r="K21" s="4">
        <f t="shared" si="13"/>
        <v>0</v>
      </c>
      <c r="L21" s="4">
        <f t="shared" si="13"/>
        <v>0</v>
      </c>
    </row>
    <row r="22" spans="1:12" s="24" customFormat="1" ht="36.75" customHeight="1" outlineLevel="1">
      <c r="A22" s="85"/>
      <c r="B22" s="102"/>
      <c r="C22" s="22" t="s">
        <v>15</v>
      </c>
      <c r="D22" s="4">
        <f t="shared" si="12"/>
        <v>163592000</v>
      </c>
      <c r="E22" s="4">
        <f t="shared" si="12"/>
        <v>157909000</v>
      </c>
      <c r="F22" s="4">
        <f t="shared" si="12"/>
        <v>148375500</v>
      </c>
      <c r="G22" s="4">
        <f t="shared" si="12"/>
        <v>191221400</v>
      </c>
      <c r="H22" s="4">
        <f t="shared" si="12"/>
        <v>222541968</v>
      </c>
      <c r="I22" s="4">
        <f t="shared" si="12"/>
        <v>231298540.86</v>
      </c>
      <c r="J22" s="4">
        <f t="shared" si="13"/>
        <v>237616768.7</v>
      </c>
      <c r="K22" s="4">
        <f t="shared" si="13"/>
        <v>239627982.7</v>
      </c>
      <c r="L22" s="4">
        <f t="shared" si="13"/>
        <v>239627982.7</v>
      </c>
    </row>
    <row r="23" spans="1:12" s="24" customFormat="1" ht="36.75" customHeight="1" outlineLevel="1">
      <c r="A23" s="85"/>
      <c r="B23" s="102"/>
      <c r="C23" s="25" t="s">
        <v>5</v>
      </c>
      <c r="D23" s="4">
        <f t="shared" si="12"/>
        <v>62941727.82</v>
      </c>
      <c r="E23" s="4">
        <f t="shared" si="12"/>
        <v>65694580.65</v>
      </c>
      <c r="F23" s="4">
        <f t="shared" si="12"/>
        <v>71209736.61000001</v>
      </c>
      <c r="G23" s="4">
        <f t="shared" si="12"/>
        <v>83059605.97999999</v>
      </c>
      <c r="H23" s="4">
        <f t="shared" si="12"/>
        <v>61451568.64</v>
      </c>
      <c r="I23" s="4">
        <f t="shared" si="12"/>
        <v>55003979.94</v>
      </c>
      <c r="J23" s="4">
        <f t="shared" si="13"/>
        <v>51421363.769999996</v>
      </c>
      <c r="K23" s="4">
        <f t="shared" si="13"/>
        <v>48684256.16</v>
      </c>
      <c r="L23" s="4">
        <f t="shared" si="13"/>
        <v>46015437.92</v>
      </c>
    </row>
    <row r="24" spans="1:12" s="24" customFormat="1" ht="36.75" customHeight="1" outlineLevel="1">
      <c r="A24" s="85"/>
      <c r="B24" s="102"/>
      <c r="C24" s="51" t="s">
        <v>6</v>
      </c>
      <c r="D24" s="4">
        <f t="shared" si="12"/>
        <v>0</v>
      </c>
      <c r="E24" s="4">
        <f t="shared" si="12"/>
        <v>0</v>
      </c>
      <c r="F24" s="4">
        <f t="shared" si="12"/>
        <v>0</v>
      </c>
      <c r="G24" s="4">
        <f t="shared" si="12"/>
        <v>0</v>
      </c>
      <c r="H24" s="4">
        <f t="shared" si="12"/>
        <v>0</v>
      </c>
      <c r="I24" s="4">
        <f t="shared" si="12"/>
        <v>0</v>
      </c>
      <c r="J24" s="4">
        <f t="shared" si="13"/>
        <v>0</v>
      </c>
      <c r="K24" s="4">
        <f t="shared" si="13"/>
        <v>0</v>
      </c>
      <c r="L24" s="4">
        <f t="shared" si="13"/>
        <v>0</v>
      </c>
    </row>
    <row r="25" spans="1:12" s="24" customFormat="1" ht="36.75" customHeight="1" outlineLevel="1">
      <c r="A25" s="85"/>
      <c r="B25" s="102"/>
      <c r="C25" s="47" t="s">
        <v>16</v>
      </c>
      <c r="D25" s="4">
        <f t="shared" si="12"/>
        <v>0</v>
      </c>
      <c r="E25" s="4">
        <f t="shared" si="12"/>
        <v>0</v>
      </c>
      <c r="F25" s="4">
        <f t="shared" si="12"/>
        <v>0</v>
      </c>
      <c r="G25" s="4">
        <f t="shared" si="12"/>
        <v>0</v>
      </c>
      <c r="H25" s="4">
        <f t="shared" si="12"/>
        <v>0</v>
      </c>
      <c r="I25" s="4">
        <f t="shared" si="12"/>
        <v>0</v>
      </c>
      <c r="J25" s="4">
        <f t="shared" si="13"/>
        <v>0</v>
      </c>
      <c r="K25" s="4">
        <f t="shared" si="13"/>
        <v>0</v>
      </c>
      <c r="L25" s="4">
        <f t="shared" si="13"/>
        <v>0</v>
      </c>
    </row>
    <row r="26" spans="1:12" ht="37.5" customHeight="1" outlineLevel="1">
      <c r="A26" s="95" t="s">
        <v>49</v>
      </c>
      <c r="B26" s="88"/>
      <c r="C26" s="45" t="s">
        <v>13</v>
      </c>
      <c r="D26" s="30">
        <f aca="true" t="shared" si="14" ref="D26:L26">D27+D28+D29+D30+D31</f>
        <v>9232000</v>
      </c>
      <c r="E26" s="30">
        <f t="shared" si="14"/>
        <v>8930655</v>
      </c>
      <c r="F26" s="30">
        <f t="shared" si="14"/>
        <v>9795537</v>
      </c>
      <c r="G26" s="5">
        <f t="shared" si="14"/>
        <v>49986453.21</v>
      </c>
      <c r="H26" s="6">
        <f t="shared" si="14"/>
        <v>51151467.050000004</v>
      </c>
      <c r="I26" s="6">
        <f t="shared" si="14"/>
        <v>53573506.41</v>
      </c>
      <c r="J26" s="6">
        <f t="shared" si="14"/>
        <v>52851790</v>
      </c>
      <c r="K26" s="6">
        <f t="shared" si="14"/>
        <v>52113500</v>
      </c>
      <c r="L26" s="6">
        <f t="shared" si="14"/>
        <v>51913500</v>
      </c>
    </row>
    <row r="27" spans="1:12" ht="37.5" customHeight="1" outlineLevel="1">
      <c r="A27" s="96"/>
      <c r="B27" s="89"/>
      <c r="C27" s="45" t="s">
        <v>14</v>
      </c>
      <c r="D27" s="6">
        <f aca="true" t="shared" si="15" ref="D27:L27">D33+D39+D45+D51</f>
        <v>0</v>
      </c>
      <c r="E27" s="6">
        <f t="shared" si="15"/>
        <v>0</v>
      </c>
      <c r="F27" s="6">
        <f t="shared" si="15"/>
        <v>0</v>
      </c>
      <c r="G27" s="6">
        <f t="shared" si="15"/>
        <v>0</v>
      </c>
      <c r="H27" s="6">
        <f t="shared" si="15"/>
        <v>0</v>
      </c>
      <c r="I27" s="6">
        <f t="shared" si="15"/>
        <v>0</v>
      </c>
      <c r="J27" s="6">
        <f t="shared" si="15"/>
        <v>0</v>
      </c>
      <c r="K27" s="6">
        <f t="shared" si="15"/>
        <v>0</v>
      </c>
      <c r="L27" s="6">
        <f t="shared" si="15"/>
        <v>0</v>
      </c>
    </row>
    <row r="28" spans="1:12" ht="37.5" customHeight="1" outlineLevel="1">
      <c r="A28" s="96"/>
      <c r="B28" s="89"/>
      <c r="C28" s="31" t="s">
        <v>15</v>
      </c>
      <c r="D28" s="6">
        <f aca="true" t="shared" si="16" ref="D28:I31">D34+D40+D46+D52</f>
        <v>0</v>
      </c>
      <c r="E28" s="6">
        <f t="shared" si="16"/>
        <v>0</v>
      </c>
      <c r="F28" s="6">
        <f t="shared" si="16"/>
        <v>0</v>
      </c>
      <c r="G28" s="6">
        <f t="shared" si="16"/>
        <v>40373200</v>
      </c>
      <c r="H28" s="6">
        <f t="shared" si="16"/>
        <v>40207870.730000004</v>
      </c>
      <c r="I28" s="6">
        <f t="shared" si="16"/>
        <v>45584410.89</v>
      </c>
      <c r="J28" s="6">
        <f aca="true" t="shared" si="17" ref="J28:L31">J34+J40+J46+J52</f>
        <v>46531300</v>
      </c>
      <c r="K28" s="6">
        <f t="shared" si="17"/>
        <v>46493500</v>
      </c>
      <c r="L28" s="6">
        <f t="shared" si="17"/>
        <v>46493500</v>
      </c>
    </row>
    <row r="29" spans="1:12" ht="37.5" customHeight="1" outlineLevel="1">
      <c r="A29" s="96"/>
      <c r="B29" s="89"/>
      <c r="C29" s="32" t="s">
        <v>5</v>
      </c>
      <c r="D29" s="6">
        <f t="shared" si="16"/>
        <v>9232000</v>
      </c>
      <c r="E29" s="6">
        <f t="shared" si="16"/>
        <v>8930655</v>
      </c>
      <c r="F29" s="6">
        <f t="shared" si="16"/>
        <v>9795537</v>
      </c>
      <c r="G29" s="6">
        <f t="shared" si="16"/>
        <v>9613253.21</v>
      </c>
      <c r="H29" s="6">
        <f t="shared" si="16"/>
        <v>10943596.32</v>
      </c>
      <c r="I29" s="6">
        <f t="shared" si="16"/>
        <v>7989095.52</v>
      </c>
      <c r="J29" s="6">
        <f t="shared" si="17"/>
        <v>6320490</v>
      </c>
      <c r="K29" s="6">
        <f t="shared" si="17"/>
        <v>5620000</v>
      </c>
      <c r="L29" s="6">
        <f t="shared" si="17"/>
        <v>5420000</v>
      </c>
    </row>
    <row r="30" spans="1:12" ht="37.5" customHeight="1" outlineLevel="1">
      <c r="A30" s="96"/>
      <c r="B30" s="89"/>
      <c r="C30" s="44" t="s">
        <v>6</v>
      </c>
      <c r="D30" s="6">
        <f t="shared" si="16"/>
        <v>0</v>
      </c>
      <c r="E30" s="6">
        <f t="shared" si="16"/>
        <v>0</v>
      </c>
      <c r="F30" s="6">
        <f t="shared" si="16"/>
        <v>0</v>
      </c>
      <c r="G30" s="6">
        <f t="shared" si="16"/>
        <v>0</v>
      </c>
      <c r="H30" s="6">
        <f t="shared" si="16"/>
        <v>0</v>
      </c>
      <c r="I30" s="6">
        <f t="shared" si="16"/>
        <v>0</v>
      </c>
      <c r="J30" s="6">
        <f t="shared" si="17"/>
        <v>0</v>
      </c>
      <c r="K30" s="6">
        <f t="shared" si="17"/>
        <v>0</v>
      </c>
      <c r="L30" s="6">
        <f t="shared" si="17"/>
        <v>0</v>
      </c>
    </row>
    <row r="31" spans="1:12" ht="37.5" customHeight="1" outlineLevel="1">
      <c r="A31" s="97"/>
      <c r="B31" s="90"/>
      <c r="C31" s="46" t="s">
        <v>16</v>
      </c>
      <c r="D31" s="6">
        <f t="shared" si="16"/>
        <v>0</v>
      </c>
      <c r="E31" s="6">
        <f t="shared" si="16"/>
        <v>0</v>
      </c>
      <c r="F31" s="6">
        <f t="shared" si="16"/>
        <v>0</v>
      </c>
      <c r="G31" s="6">
        <f t="shared" si="16"/>
        <v>0</v>
      </c>
      <c r="H31" s="6">
        <f t="shared" si="16"/>
        <v>0</v>
      </c>
      <c r="I31" s="6">
        <f t="shared" si="16"/>
        <v>0</v>
      </c>
      <c r="J31" s="6">
        <f t="shared" si="17"/>
        <v>0</v>
      </c>
      <c r="K31" s="6">
        <f t="shared" si="17"/>
        <v>0</v>
      </c>
      <c r="L31" s="6">
        <f t="shared" si="17"/>
        <v>0</v>
      </c>
    </row>
    <row r="32" spans="1:12" ht="37.5" customHeight="1" outlineLevel="1">
      <c r="A32" s="95" t="s">
        <v>38</v>
      </c>
      <c r="B32" s="88"/>
      <c r="C32" s="45" t="s">
        <v>13</v>
      </c>
      <c r="D32" s="30">
        <f aca="true" t="shared" si="18" ref="D32:L32">D33+D34+D35+D36+D37</f>
        <v>9232000</v>
      </c>
      <c r="E32" s="30">
        <f t="shared" si="18"/>
        <v>8930655</v>
      </c>
      <c r="F32" s="30">
        <f t="shared" si="18"/>
        <v>9795537</v>
      </c>
      <c r="G32" s="5">
        <f t="shared" si="18"/>
        <v>9613253.21</v>
      </c>
      <c r="H32" s="6">
        <f t="shared" si="18"/>
        <v>9275987.16</v>
      </c>
      <c r="I32" s="6">
        <f t="shared" si="18"/>
        <v>6395041.22</v>
      </c>
      <c r="J32" s="6">
        <f t="shared" si="18"/>
        <v>4162690</v>
      </c>
      <c r="K32" s="6">
        <f t="shared" si="18"/>
        <v>3500000</v>
      </c>
      <c r="L32" s="6">
        <f t="shared" si="18"/>
        <v>3300000</v>
      </c>
    </row>
    <row r="33" spans="1:12" ht="29.25" customHeight="1" outlineLevel="1">
      <c r="A33" s="96"/>
      <c r="B33" s="89"/>
      <c r="C33" s="45" t="s">
        <v>14</v>
      </c>
      <c r="D33" s="6"/>
      <c r="E33" s="6"/>
      <c r="F33" s="6"/>
      <c r="G33" s="7"/>
      <c r="H33" s="6"/>
      <c r="I33" s="6"/>
      <c r="J33" s="6"/>
      <c r="K33" s="6"/>
      <c r="L33" s="6"/>
    </row>
    <row r="34" spans="1:12" ht="37.5" customHeight="1" outlineLevel="1">
      <c r="A34" s="96"/>
      <c r="B34" s="89"/>
      <c r="C34" s="31" t="s">
        <v>15</v>
      </c>
      <c r="D34" s="6"/>
      <c r="E34" s="6"/>
      <c r="F34" s="6"/>
      <c r="G34" s="7"/>
      <c r="H34" s="7"/>
      <c r="I34" s="7"/>
      <c r="J34" s="7"/>
      <c r="K34" s="6"/>
      <c r="L34" s="6"/>
    </row>
    <row r="35" spans="1:12" ht="37.5" customHeight="1" outlineLevel="1">
      <c r="A35" s="96"/>
      <c r="B35" s="89"/>
      <c r="C35" s="32" t="s">
        <v>5</v>
      </c>
      <c r="D35" s="6">
        <v>9232000</v>
      </c>
      <c r="E35" s="6">
        <v>8930655</v>
      </c>
      <c r="F35" s="6">
        <f>8507173+591364+697000</f>
        <v>9795537</v>
      </c>
      <c r="G35" s="7">
        <v>9613253.21</v>
      </c>
      <c r="H35" s="6">
        <f>7131565+666191-3463900-1751568.84+79100+602000+58600+2214000+3740000</f>
        <v>9275987.16</v>
      </c>
      <c r="I35" s="6">
        <f>6398071.52-3030.3</f>
        <v>6395041.22</v>
      </c>
      <c r="J35" s="6">
        <v>4162690</v>
      </c>
      <c r="K35" s="6">
        <v>3500000</v>
      </c>
      <c r="L35" s="6">
        <v>3300000</v>
      </c>
    </row>
    <row r="36" spans="1:12" ht="37.5" customHeight="1" outlineLevel="1">
      <c r="A36" s="96"/>
      <c r="B36" s="89"/>
      <c r="C36" s="44" t="s">
        <v>6</v>
      </c>
      <c r="D36" s="7"/>
      <c r="E36" s="7"/>
      <c r="F36" s="7"/>
      <c r="G36" s="7"/>
      <c r="H36" s="6"/>
      <c r="I36" s="6"/>
      <c r="J36" s="6"/>
      <c r="K36" s="6"/>
      <c r="L36" s="6"/>
    </row>
    <row r="37" spans="1:12" ht="26.25" customHeight="1" outlineLevel="1">
      <c r="A37" s="97"/>
      <c r="B37" s="90"/>
      <c r="C37" s="46" t="s">
        <v>16</v>
      </c>
      <c r="D37" s="6"/>
      <c r="E37" s="6"/>
      <c r="F37" s="6"/>
      <c r="G37" s="7"/>
      <c r="H37" s="6"/>
      <c r="I37" s="6"/>
      <c r="J37" s="6"/>
      <c r="K37" s="6"/>
      <c r="L37" s="6"/>
    </row>
    <row r="38" spans="1:12" ht="36" customHeight="1" outlineLevel="1">
      <c r="A38" s="91" t="s">
        <v>39</v>
      </c>
      <c r="B38" s="88"/>
      <c r="C38" s="45" t="s">
        <v>13</v>
      </c>
      <c r="D38" s="30">
        <f aca="true" t="shared" si="19" ref="D38:L38">D39+D40+D41+D42+D43</f>
        <v>0</v>
      </c>
      <c r="E38" s="30">
        <f t="shared" si="19"/>
        <v>0</v>
      </c>
      <c r="F38" s="30">
        <f t="shared" si="19"/>
        <v>0</v>
      </c>
      <c r="G38" s="5">
        <f t="shared" si="19"/>
        <v>40373200</v>
      </c>
      <c r="H38" s="6">
        <f t="shared" si="19"/>
        <v>36425071.56</v>
      </c>
      <c r="I38" s="6">
        <f t="shared" si="19"/>
        <v>41633900</v>
      </c>
      <c r="J38" s="6">
        <f t="shared" si="19"/>
        <v>41613500</v>
      </c>
      <c r="K38" s="6">
        <f t="shared" si="19"/>
        <v>41613500</v>
      </c>
      <c r="L38" s="6">
        <f t="shared" si="19"/>
        <v>41613500</v>
      </c>
    </row>
    <row r="39" spans="1:12" ht="36" customHeight="1" outlineLevel="1">
      <c r="A39" s="92"/>
      <c r="B39" s="89"/>
      <c r="C39" s="45" t="s">
        <v>14</v>
      </c>
      <c r="D39" s="6"/>
      <c r="E39" s="6"/>
      <c r="F39" s="6"/>
      <c r="G39" s="7"/>
      <c r="H39" s="6"/>
      <c r="I39" s="6"/>
      <c r="J39" s="6"/>
      <c r="K39" s="6"/>
      <c r="L39" s="6"/>
    </row>
    <row r="40" spans="1:12" ht="36" customHeight="1" outlineLevel="1">
      <c r="A40" s="92"/>
      <c r="B40" s="89"/>
      <c r="C40" s="31" t="s">
        <v>15</v>
      </c>
      <c r="D40" s="6"/>
      <c r="E40" s="6"/>
      <c r="F40" s="6"/>
      <c r="G40" s="7">
        <f>35287000+2186200+2900000</f>
        <v>40373200</v>
      </c>
      <c r="H40" s="7">
        <f>37600570-1175498.44</f>
        <v>36425071.56</v>
      </c>
      <c r="I40" s="7">
        <v>41633900</v>
      </c>
      <c r="J40" s="7">
        <v>41613500</v>
      </c>
      <c r="K40" s="6">
        <v>41613500</v>
      </c>
      <c r="L40" s="6">
        <v>41613500</v>
      </c>
    </row>
    <row r="41" spans="1:12" ht="39" customHeight="1" outlineLevel="1">
      <c r="A41" s="92"/>
      <c r="B41" s="89"/>
      <c r="C41" s="32" t="s">
        <v>5</v>
      </c>
      <c r="D41" s="7"/>
      <c r="E41" s="7"/>
      <c r="F41" s="7"/>
      <c r="G41" s="7"/>
      <c r="H41" s="6"/>
      <c r="I41" s="6"/>
      <c r="J41" s="6"/>
      <c r="K41" s="6"/>
      <c r="L41" s="6"/>
    </row>
    <row r="42" spans="1:12" ht="36" customHeight="1" outlineLevel="1">
      <c r="A42" s="92"/>
      <c r="B42" s="89"/>
      <c r="C42" s="44" t="s">
        <v>6</v>
      </c>
      <c r="D42" s="7"/>
      <c r="E42" s="7"/>
      <c r="F42" s="7"/>
      <c r="G42" s="7"/>
      <c r="H42" s="6"/>
      <c r="I42" s="6"/>
      <c r="J42" s="6"/>
      <c r="K42" s="6"/>
      <c r="L42" s="6"/>
    </row>
    <row r="43" spans="1:12" ht="26.25" customHeight="1" outlineLevel="1">
      <c r="A43" s="93"/>
      <c r="B43" s="90"/>
      <c r="C43" s="46" t="s">
        <v>16</v>
      </c>
      <c r="D43" s="6"/>
      <c r="E43" s="6"/>
      <c r="F43" s="6"/>
      <c r="G43" s="7"/>
      <c r="H43" s="6"/>
      <c r="I43" s="6"/>
      <c r="J43" s="6"/>
      <c r="K43" s="6"/>
      <c r="L43" s="6"/>
    </row>
    <row r="44" spans="1:12" ht="36" customHeight="1" outlineLevel="1">
      <c r="A44" s="91" t="s">
        <v>79</v>
      </c>
      <c r="B44" s="88"/>
      <c r="C44" s="60" t="s">
        <v>13</v>
      </c>
      <c r="D44" s="30">
        <f aca="true" t="shared" si="20" ref="D44:L44">D45+D46+D47+D48+D49</f>
        <v>0</v>
      </c>
      <c r="E44" s="30">
        <f t="shared" si="20"/>
        <v>0</v>
      </c>
      <c r="F44" s="30">
        <f t="shared" si="20"/>
        <v>0</v>
      </c>
      <c r="G44" s="5">
        <f t="shared" si="20"/>
        <v>0</v>
      </c>
      <c r="H44" s="6">
        <f t="shared" si="20"/>
        <v>0</v>
      </c>
      <c r="I44" s="6">
        <f t="shared" si="20"/>
        <v>303030.3</v>
      </c>
      <c r="J44" s="6">
        <f t="shared" si="20"/>
        <v>0</v>
      </c>
      <c r="K44" s="6">
        <f t="shared" si="20"/>
        <v>0</v>
      </c>
      <c r="L44" s="6">
        <f t="shared" si="20"/>
        <v>0</v>
      </c>
    </row>
    <row r="45" spans="1:12" ht="36" customHeight="1" outlineLevel="1">
      <c r="A45" s="92"/>
      <c r="B45" s="89"/>
      <c r="C45" s="60" t="s">
        <v>14</v>
      </c>
      <c r="D45" s="6"/>
      <c r="E45" s="6"/>
      <c r="F45" s="6"/>
      <c r="G45" s="7"/>
      <c r="H45" s="6"/>
      <c r="I45" s="6"/>
      <c r="J45" s="6"/>
      <c r="K45" s="6"/>
      <c r="L45" s="6"/>
    </row>
    <row r="46" spans="1:12" ht="36" customHeight="1" outlineLevel="1">
      <c r="A46" s="92"/>
      <c r="B46" s="89"/>
      <c r="C46" s="31" t="s">
        <v>15</v>
      </c>
      <c r="D46" s="6"/>
      <c r="E46" s="6"/>
      <c r="F46" s="6"/>
      <c r="G46" s="7"/>
      <c r="H46" s="7"/>
      <c r="I46" s="7">
        <v>300000</v>
      </c>
      <c r="J46" s="7">
        <v>0</v>
      </c>
      <c r="K46" s="6">
        <v>0</v>
      </c>
      <c r="L46" s="6">
        <v>0</v>
      </c>
    </row>
    <row r="47" spans="1:12" ht="36" customHeight="1" outlineLevel="1">
      <c r="A47" s="92"/>
      <c r="B47" s="89"/>
      <c r="C47" s="32" t="s">
        <v>5</v>
      </c>
      <c r="D47" s="7"/>
      <c r="E47" s="7"/>
      <c r="F47" s="7"/>
      <c r="G47" s="7"/>
      <c r="H47" s="6"/>
      <c r="I47" s="6">
        <v>3030.3</v>
      </c>
      <c r="J47" s="6">
        <v>0</v>
      </c>
      <c r="K47" s="6">
        <v>0</v>
      </c>
      <c r="L47" s="6">
        <v>0</v>
      </c>
    </row>
    <row r="48" spans="1:12" ht="36" customHeight="1" outlineLevel="1">
      <c r="A48" s="92"/>
      <c r="B48" s="89"/>
      <c r="C48" s="59" t="s">
        <v>6</v>
      </c>
      <c r="D48" s="7"/>
      <c r="E48" s="7"/>
      <c r="F48" s="7"/>
      <c r="G48" s="7"/>
      <c r="H48" s="6"/>
      <c r="I48" s="6"/>
      <c r="J48" s="6"/>
      <c r="K48" s="6"/>
      <c r="L48" s="6"/>
    </row>
    <row r="49" spans="1:12" ht="26.25" customHeight="1" outlineLevel="1">
      <c r="A49" s="93"/>
      <c r="B49" s="90"/>
      <c r="C49" s="61" t="s">
        <v>16</v>
      </c>
      <c r="D49" s="6"/>
      <c r="E49" s="6"/>
      <c r="F49" s="6"/>
      <c r="G49" s="7"/>
      <c r="H49" s="6"/>
      <c r="I49" s="6"/>
      <c r="J49" s="6"/>
      <c r="K49" s="6"/>
      <c r="L49" s="6"/>
    </row>
    <row r="50" spans="1:12" ht="36" customHeight="1" outlineLevel="1">
      <c r="A50" s="91" t="s">
        <v>76</v>
      </c>
      <c r="B50" s="88"/>
      <c r="C50" s="45" t="s">
        <v>13</v>
      </c>
      <c r="D50" s="30">
        <f aca="true" t="shared" si="21" ref="D50:L50">D51+D52+D53+D54+D55</f>
        <v>0</v>
      </c>
      <c r="E50" s="30">
        <f t="shared" si="21"/>
        <v>0</v>
      </c>
      <c r="F50" s="30">
        <f t="shared" si="21"/>
        <v>0</v>
      </c>
      <c r="G50" s="5">
        <f t="shared" si="21"/>
        <v>0</v>
      </c>
      <c r="H50" s="6">
        <f t="shared" si="21"/>
        <v>5450408.33</v>
      </c>
      <c r="I50" s="6">
        <f t="shared" si="21"/>
        <v>5241534.890000001</v>
      </c>
      <c r="J50" s="6">
        <f t="shared" si="21"/>
        <v>7075600</v>
      </c>
      <c r="K50" s="6">
        <f t="shared" si="21"/>
        <v>7000000</v>
      </c>
      <c r="L50" s="6">
        <f t="shared" si="21"/>
        <v>7000000</v>
      </c>
    </row>
    <row r="51" spans="1:12" ht="36" customHeight="1" outlineLevel="1">
      <c r="A51" s="92"/>
      <c r="B51" s="89"/>
      <c r="C51" s="45" t="s">
        <v>14</v>
      </c>
      <c r="D51" s="6"/>
      <c r="E51" s="6"/>
      <c r="F51" s="6"/>
      <c r="G51" s="7"/>
      <c r="H51" s="6"/>
      <c r="I51" s="6"/>
      <c r="J51" s="6"/>
      <c r="K51" s="6"/>
      <c r="L51" s="6"/>
    </row>
    <row r="52" spans="1:12" ht="36" customHeight="1" outlineLevel="1">
      <c r="A52" s="92"/>
      <c r="B52" s="89"/>
      <c r="C52" s="31" t="s">
        <v>15</v>
      </c>
      <c r="D52" s="6"/>
      <c r="E52" s="6"/>
      <c r="F52" s="6"/>
      <c r="G52" s="7">
        <v>0</v>
      </c>
      <c r="H52" s="7">
        <v>3782799.17</v>
      </c>
      <c r="I52" s="7">
        <f>4326693.36-676182.47</f>
        <v>3650510.8900000006</v>
      </c>
      <c r="J52" s="7">
        <f>4880000+37800</f>
        <v>4917800</v>
      </c>
      <c r="K52" s="6">
        <v>4880000</v>
      </c>
      <c r="L52" s="6">
        <v>4880000</v>
      </c>
    </row>
    <row r="53" spans="1:12" ht="36" customHeight="1" outlineLevel="1">
      <c r="A53" s="92"/>
      <c r="B53" s="89"/>
      <c r="C53" s="32" t="s">
        <v>5</v>
      </c>
      <c r="D53" s="7"/>
      <c r="E53" s="7"/>
      <c r="F53" s="7"/>
      <c r="G53" s="7"/>
      <c r="H53" s="6">
        <v>1667609.16</v>
      </c>
      <c r="I53" s="6">
        <f>2140600-259783.52-289792.48</f>
        <v>1591024</v>
      </c>
      <c r="J53" s="6">
        <f>2120000+37800</f>
        <v>2157800</v>
      </c>
      <c r="K53" s="6">
        <v>2120000</v>
      </c>
      <c r="L53" s="6">
        <v>2120000</v>
      </c>
    </row>
    <row r="54" spans="1:12" ht="36" customHeight="1" outlineLevel="1">
      <c r="A54" s="92"/>
      <c r="B54" s="89"/>
      <c r="C54" s="44" t="s">
        <v>6</v>
      </c>
      <c r="D54" s="7"/>
      <c r="E54" s="7"/>
      <c r="F54" s="7"/>
      <c r="G54" s="7"/>
      <c r="H54" s="6"/>
      <c r="I54" s="6"/>
      <c r="J54" s="6"/>
      <c r="K54" s="6"/>
      <c r="L54" s="6"/>
    </row>
    <row r="55" spans="1:12" ht="26.25" customHeight="1" outlineLevel="1">
      <c r="A55" s="93"/>
      <c r="B55" s="90"/>
      <c r="C55" s="46" t="s">
        <v>16</v>
      </c>
      <c r="D55" s="6"/>
      <c r="E55" s="6"/>
      <c r="F55" s="6"/>
      <c r="G55" s="7"/>
      <c r="H55" s="6"/>
      <c r="I55" s="6"/>
      <c r="J55" s="6"/>
      <c r="K55" s="6"/>
      <c r="L55" s="6"/>
    </row>
    <row r="56" spans="1:12" ht="36" customHeight="1" outlineLevel="1">
      <c r="A56" s="98" t="s">
        <v>48</v>
      </c>
      <c r="B56" s="88"/>
      <c r="C56" s="45" t="s">
        <v>13</v>
      </c>
      <c r="D56" s="30">
        <f aca="true" t="shared" si="22" ref="D56:I56">D57+D58+D59+D60+D61</f>
        <v>53198821</v>
      </c>
      <c r="E56" s="30">
        <f t="shared" si="22"/>
        <v>56307637</v>
      </c>
      <c r="F56" s="30">
        <f t="shared" si="22"/>
        <v>60850164.050000004</v>
      </c>
      <c r="G56" s="7">
        <f t="shared" si="22"/>
        <v>223590893.82999998</v>
      </c>
      <c r="H56" s="6">
        <f>H57+H58+H59+H60+H61</f>
        <v>232330839.96</v>
      </c>
      <c r="I56" s="6">
        <f t="shared" si="22"/>
        <v>236655204.39</v>
      </c>
      <c r="J56" s="6">
        <f>J57+J58+J59+J60+J61</f>
        <v>235626303.07999998</v>
      </c>
      <c r="K56" s="6">
        <f>K57+K58+K59+K60+K61</f>
        <v>236198738.85999998</v>
      </c>
      <c r="L56" s="6">
        <f>L57+L58+L59+L60+L61</f>
        <v>233729920.62</v>
      </c>
    </row>
    <row r="57" spans="1:12" ht="36" customHeight="1" outlineLevel="1">
      <c r="A57" s="99"/>
      <c r="B57" s="89"/>
      <c r="C57" s="45" t="s">
        <v>14</v>
      </c>
      <c r="D57" s="6">
        <f aca="true" t="shared" si="23" ref="D57:L57">D63+D69+D75+D81+D87</f>
        <v>0</v>
      </c>
      <c r="E57" s="6">
        <f t="shared" si="23"/>
        <v>0</v>
      </c>
      <c r="F57" s="6">
        <f t="shared" si="23"/>
        <v>0</v>
      </c>
      <c r="G57" s="6">
        <f t="shared" si="23"/>
        <v>0</v>
      </c>
      <c r="H57" s="6">
        <f t="shared" si="23"/>
        <v>0</v>
      </c>
      <c r="I57" s="6">
        <f t="shared" si="23"/>
        <v>4397200</v>
      </c>
      <c r="J57" s="6">
        <f t="shared" si="23"/>
        <v>0</v>
      </c>
      <c r="K57" s="6">
        <f t="shared" si="23"/>
        <v>0</v>
      </c>
      <c r="L57" s="6">
        <f t="shared" si="23"/>
        <v>0</v>
      </c>
    </row>
    <row r="58" spans="1:12" ht="36" customHeight="1" outlineLevel="1">
      <c r="A58" s="99"/>
      <c r="B58" s="89"/>
      <c r="C58" s="31" t="s">
        <v>15</v>
      </c>
      <c r="D58" s="6">
        <f aca="true" t="shared" si="24" ref="D58:I61">D64+D70+D76+D82+D88</f>
        <v>0</v>
      </c>
      <c r="E58" s="6">
        <f t="shared" si="24"/>
        <v>0</v>
      </c>
      <c r="F58" s="6">
        <f t="shared" si="24"/>
        <v>0</v>
      </c>
      <c r="G58" s="6">
        <f t="shared" si="24"/>
        <v>150848200</v>
      </c>
      <c r="H58" s="6">
        <f t="shared" si="24"/>
        <v>182334097.27</v>
      </c>
      <c r="I58" s="6">
        <f t="shared" si="24"/>
        <v>185714129.97</v>
      </c>
      <c r="J58" s="6">
        <f aca="true" t="shared" si="25" ref="J58:L61">J64+J70+J76+J82+J88</f>
        <v>191085468.7</v>
      </c>
      <c r="K58" s="6">
        <f t="shared" si="25"/>
        <v>193134482.7</v>
      </c>
      <c r="L58" s="6">
        <f t="shared" si="25"/>
        <v>193134482.7</v>
      </c>
    </row>
    <row r="59" spans="1:12" ht="36" customHeight="1" outlineLevel="1">
      <c r="A59" s="99"/>
      <c r="B59" s="89"/>
      <c r="C59" s="32" t="s">
        <v>5</v>
      </c>
      <c r="D59" s="6">
        <f t="shared" si="24"/>
        <v>53198821</v>
      </c>
      <c r="E59" s="6">
        <f t="shared" si="24"/>
        <v>56307637</v>
      </c>
      <c r="F59" s="6">
        <f t="shared" si="24"/>
        <v>60850164.050000004</v>
      </c>
      <c r="G59" s="6">
        <f t="shared" si="24"/>
        <v>72742693.83</v>
      </c>
      <c r="H59" s="6">
        <f t="shared" si="24"/>
        <v>49996742.69</v>
      </c>
      <c r="I59" s="6">
        <f t="shared" si="24"/>
        <v>46543874.419999994</v>
      </c>
      <c r="J59" s="6">
        <f t="shared" si="25"/>
        <v>44540834.379999995</v>
      </c>
      <c r="K59" s="6">
        <f t="shared" si="25"/>
        <v>43064256.16</v>
      </c>
      <c r="L59" s="6">
        <f t="shared" si="25"/>
        <v>40595437.92</v>
      </c>
    </row>
    <row r="60" spans="1:12" ht="36" customHeight="1" outlineLevel="1">
      <c r="A60" s="99"/>
      <c r="B60" s="89"/>
      <c r="C60" s="44" t="s">
        <v>6</v>
      </c>
      <c r="D60" s="6">
        <f t="shared" si="24"/>
        <v>0</v>
      </c>
      <c r="E60" s="6">
        <f t="shared" si="24"/>
        <v>0</v>
      </c>
      <c r="F60" s="6">
        <f t="shared" si="24"/>
        <v>0</v>
      </c>
      <c r="G60" s="6">
        <f t="shared" si="24"/>
        <v>0</v>
      </c>
      <c r="H60" s="6">
        <f t="shared" si="24"/>
        <v>0</v>
      </c>
      <c r="I60" s="6">
        <f t="shared" si="24"/>
        <v>0</v>
      </c>
      <c r="J60" s="6">
        <f t="shared" si="25"/>
        <v>0</v>
      </c>
      <c r="K60" s="6">
        <f t="shared" si="25"/>
        <v>0</v>
      </c>
      <c r="L60" s="6">
        <f t="shared" si="25"/>
        <v>0</v>
      </c>
    </row>
    <row r="61" spans="1:12" ht="24" customHeight="1" outlineLevel="1">
      <c r="A61" s="100"/>
      <c r="B61" s="90"/>
      <c r="C61" s="46" t="s">
        <v>16</v>
      </c>
      <c r="D61" s="6">
        <f t="shared" si="24"/>
        <v>0</v>
      </c>
      <c r="E61" s="6">
        <f t="shared" si="24"/>
        <v>0</v>
      </c>
      <c r="F61" s="6">
        <f t="shared" si="24"/>
        <v>0</v>
      </c>
      <c r="G61" s="6">
        <f t="shared" si="24"/>
        <v>0</v>
      </c>
      <c r="H61" s="6">
        <f t="shared" si="24"/>
        <v>0</v>
      </c>
      <c r="I61" s="6">
        <f t="shared" si="24"/>
        <v>0</v>
      </c>
      <c r="J61" s="6">
        <f t="shared" si="25"/>
        <v>0</v>
      </c>
      <c r="K61" s="6">
        <f t="shared" si="25"/>
        <v>0</v>
      </c>
      <c r="L61" s="6">
        <f t="shared" si="25"/>
        <v>0</v>
      </c>
    </row>
    <row r="62" spans="1:12" ht="36" customHeight="1" outlineLevel="1">
      <c r="A62" s="98" t="s">
        <v>40</v>
      </c>
      <c r="B62" s="88"/>
      <c r="C62" s="45" t="s">
        <v>13</v>
      </c>
      <c r="D62" s="30">
        <f aca="true" t="shared" si="26" ref="D62:L62">D63+D64+D65+D66+D67</f>
        <v>53198821</v>
      </c>
      <c r="E62" s="30">
        <f t="shared" si="26"/>
        <v>56307637</v>
      </c>
      <c r="F62" s="30">
        <f t="shared" si="26"/>
        <v>60850164.050000004</v>
      </c>
      <c r="G62" s="7">
        <f t="shared" si="26"/>
        <v>72742693.83</v>
      </c>
      <c r="H62" s="6">
        <f t="shared" si="26"/>
        <v>39729683.86</v>
      </c>
      <c r="I62" s="6">
        <f t="shared" si="26"/>
        <v>38546495.25</v>
      </c>
      <c r="J62" s="6">
        <v>33870022.08</v>
      </c>
      <c r="K62" s="6">
        <f t="shared" si="26"/>
        <v>31476319</v>
      </c>
      <c r="L62" s="6">
        <f t="shared" si="26"/>
        <v>29007500.76</v>
      </c>
    </row>
    <row r="63" spans="1:12" ht="36" customHeight="1" outlineLevel="1">
      <c r="A63" s="99"/>
      <c r="B63" s="89"/>
      <c r="C63" s="45" t="s">
        <v>14</v>
      </c>
      <c r="D63" s="6"/>
      <c r="E63" s="6"/>
      <c r="F63" s="6"/>
      <c r="G63" s="7"/>
      <c r="H63" s="6"/>
      <c r="I63" s="6"/>
      <c r="J63" s="6"/>
      <c r="K63" s="6"/>
      <c r="L63" s="6"/>
    </row>
    <row r="64" spans="1:12" ht="36" customHeight="1" outlineLevel="1">
      <c r="A64" s="99"/>
      <c r="B64" s="89"/>
      <c r="C64" s="31" t="s">
        <v>15</v>
      </c>
      <c r="D64" s="16"/>
      <c r="E64" s="16"/>
      <c r="F64" s="16"/>
      <c r="G64" s="8"/>
      <c r="H64" s="8"/>
      <c r="I64" s="8"/>
      <c r="J64" s="8"/>
      <c r="K64" s="16"/>
      <c r="L64" s="16"/>
    </row>
    <row r="65" spans="1:12" ht="36" customHeight="1" outlineLevel="1">
      <c r="A65" s="99"/>
      <c r="B65" s="89"/>
      <c r="C65" s="32" t="s">
        <v>5</v>
      </c>
      <c r="D65" s="6">
        <v>53198821</v>
      </c>
      <c r="E65" s="6">
        <v>56307637</v>
      </c>
      <c r="F65" s="6">
        <f>60662241.49-591364+779286.56</f>
        <v>60850164.050000004</v>
      </c>
      <c r="G65" s="7">
        <v>72742693.83</v>
      </c>
      <c r="H65" s="6">
        <f>56616756+1821348-23266790+250000-10099793.14-361600+180400+1306000+12786000+1819363+180000-1502000</f>
        <v>39729683.86</v>
      </c>
      <c r="I65" s="6">
        <f>38549489.19-2993.94</f>
        <v>38546495.25</v>
      </c>
      <c r="J65" s="6">
        <v>33870022.08</v>
      </c>
      <c r="K65" s="6">
        <v>31476319</v>
      </c>
      <c r="L65" s="6">
        <v>29007500.76</v>
      </c>
    </row>
    <row r="66" spans="1:12" ht="36" customHeight="1" outlineLevel="1">
      <c r="A66" s="99"/>
      <c r="B66" s="89"/>
      <c r="C66" s="44" t="s">
        <v>6</v>
      </c>
      <c r="D66" s="6"/>
      <c r="E66" s="6"/>
      <c r="F66" s="6"/>
      <c r="G66" s="7"/>
      <c r="H66" s="6"/>
      <c r="I66" s="6"/>
      <c r="J66" s="6"/>
      <c r="K66" s="6"/>
      <c r="L66" s="6"/>
    </row>
    <row r="67" spans="1:12" ht="24" customHeight="1" outlineLevel="1">
      <c r="A67" s="100"/>
      <c r="B67" s="90"/>
      <c r="C67" s="46" t="s">
        <v>16</v>
      </c>
      <c r="D67" s="6"/>
      <c r="E67" s="6"/>
      <c r="F67" s="6"/>
      <c r="G67" s="7"/>
      <c r="H67" s="6"/>
      <c r="I67" s="6"/>
      <c r="J67" s="6"/>
      <c r="K67" s="6"/>
      <c r="L67" s="6"/>
    </row>
    <row r="68" spans="1:12" ht="36" customHeight="1" outlineLevel="1">
      <c r="A68" s="91" t="s">
        <v>41</v>
      </c>
      <c r="B68" s="88"/>
      <c r="C68" s="45" t="s">
        <v>13</v>
      </c>
      <c r="D68" s="30">
        <f aca="true" t="shared" si="27" ref="D68:L68">D69+D70+D71+D72+D73</f>
        <v>0</v>
      </c>
      <c r="E68" s="30">
        <f t="shared" si="27"/>
        <v>0</v>
      </c>
      <c r="F68" s="30">
        <f t="shared" si="27"/>
        <v>0</v>
      </c>
      <c r="G68" s="5">
        <f t="shared" si="27"/>
        <v>150848200</v>
      </c>
      <c r="H68" s="6">
        <f t="shared" si="27"/>
        <v>158517228.44</v>
      </c>
      <c r="I68" s="6">
        <f t="shared" si="27"/>
        <v>166841900</v>
      </c>
      <c r="J68" s="6">
        <f t="shared" si="27"/>
        <v>166430300</v>
      </c>
      <c r="K68" s="6">
        <f t="shared" si="27"/>
        <v>166430300</v>
      </c>
      <c r="L68" s="6">
        <f t="shared" si="27"/>
        <v>166430300</v>
      </c>
    </row>
    <row r="69" spans="1:12" ht="36" customHeight="1" outlineLevel="1">
      <c r="A69" s="92"/>
      <c r="B69" s="89"/>
      <c r="C69" s="45" t="s">
        <v>14</v>
      </c>
      <c r="D69" s="6"/>
      <c r="E69" s="6"/>
      <c r="F69" s="6"/>
      <c r="G69" s="7"/>
      <c r="H69" s="6"/>
      <c r="I69" s="6"/>
      <c r="J69" s="6"/>
      <c r="K69" s="6"/>
      <c r="L69" s="6"/>
    </row>
    <row r="70" spans="1:12" ht="36" customHeight="1" outlineLevel="1">
      <c r="A70" s="92"/>
      <c r="B70" s="89"/>
      <c r="C70" s="31" t="s">
        <v>15</v>
      </c>
      <c r="D70" s="6">
        <v>0</v>
      </c>
      <c r="E70" s="6">
        <v>0</v>
      </c>
      <c r="F70" s="6">
        <v>0</v>
      </c>
      <c r="G70" s="8">
        <f>141048300+3400000+4629900+1770000</f>
        <v>150848200</v>
      </c>
      <c r="H70" s="8">
        <f>165305830-6788601.56</f>
        <v>158517228.44</v>
      </c>
      <c r="I70" s="8">
        <v>166841900</v>
      </c>
      <c r="J70" s="8">
        <v>166430300</v>
      </c>
      <c r="K70" s="16">
        <v>166430300</v>
      </c>
      <c r="L70" s="16">
        <v>166430300</v>
      </c>
    </row>
    <row r="71" spans="1:12" ht="36" customHeight="1" outlineLevel="1">
      <c r="A71" s="92"/>
      <c r="B71" s="89"/>
      <c r="C71" s="32" t="s">
        <v>5</v>
      </c>
      <c r="D71" s="7"/>
      <c r="E71" s="7"/>
      <c r="F71" s="7"/>
      <c r="G71" s="7"/>
      <c r="H71" s="6"/>
      <c r="I71" s="6"/>
      <c r="J71" s="6"/>
      <c r="K71" s="6"/>
      <c r="L71" s="6"/>
    </row>
    <row r="72" spans="1:12" ht="36" customHeight="1" outlineLevel="1">
      <c r="A72" s="92"/>
      <c r="B72" s="89"/>
      <c r="C72" s="44" t="s">
        <v>6</v>
      </c>
      <c r="D72" s="7"/>
      <c r="E72" s="7"/>
      <c r="F72" s="7"/>
      <c r="G72" s="7"/>
      <c r="H72" s="6"/>
      <c r="I72" s="6"/>
      <c r="J72" s="6"/>
      <c r="K72" s="6"/>
      <c r="L72" s="6"/>
    </row>
    <row r="73" spans="1:12" ht="24" customHeight="1" outlineLevel="1">
      <c r="A73" s="93"/>
      <c r="B73" s="90"/>
      <c r="C73" s="46" t="s">
        <v>16</v>
      </c>
      <c r="D73" s="6"/>
      <c r="E73" s="6"/>
      <c r="F73" s="6"/>
      <c r="G73" s="7"/>
      <c r="H73" s="6"/>
      <c r="I73" s="6"/>
      <c r="J73" s="6"/>
      <c r="K73" s="6"/>
      <c r="L73" s="6"/>
    </row>
    <row r="74" spans="1:12" ht="36" customHeight="1" outlineLevel="1">
      <c r="A74" s="91" t="s">
        <v>80</v>
      </c>
      <c r="B74" s="88"/>
      <c r="C74" s="60" t="s">
        <v>13</v>
      </c>
      <c r="D74" s="30">
        <f aca="true" t="shared" si="28" ref="D74:L74">D75+D76+D77+D78+D79</f>
        <v>0</v>
      </c>
      <c r="E74" s="30">
        <f t="shared" si="28"/>
        <v>0</v>
      </c>
      <c r="F74" s="30">
        <f t="shared" si="28"/>
        <v>0</v>
      </c>
      <c r="G74" s="5">
        <f t="shared" si="28"/>
        <v>0</v>
      </c>
      <c r="H74" s="6">
        <f t="shared" si="28"/>
        <v>0</v>
      </c>
      <c r="I74" s="6">
        <f t="shared" si="28"/>
        <v>299393.94</v>
      </c>
      <c r="J74" s="6">
        <f t="shared" si="28"/>
        <v>0</v>
      </c>
      <c r="K74" s="6">
        <f t="shared" si="28"/>
        <v>0</v>
      </c>
      <c r="L74" s="6">
        <f t="shared" si="28"/>
        <v>0</v>
      </c>
    </row>
    <row r="75" spans="1:12" ht="36" customHeight="1" outlineLevel="1">
      <c r="A75" s="92"/>
      <c r="B75" s="89"/>
      <c r="C75" s="60" t="s">
        <v>14</v>
      </c>
      <c r="D75" s="6"/>
      <c r="E75" s="6"/>
      <c r="F75" s="6"/>
      <c r="G75" s="7"/>
      <c r="H75" s="6"/>
      <c r="I75" s="6"/>
      <c r="J75" s="6"/>
      <c r="K75" s="6"/>
      <c r="L75" s="6"/>
    </row>
    <row r="76" spans="1:12" ht="36" customHeight="1" outlineLevel="1">
      <c r="A76" s="92"/>
      <c r="B76" s="89"/>
      <c r="C76" s="31" t="s">
        <v>15</v>
      </c>
      <c r="D76" s="6"/>
      <c r="E76" s="6"/>
      <c r="F76" s="6"/>
      <c r="G76" s="7"/>
      <c r="H76" s="7"/>
      <c r="I76" s="7">
        <v>296400</v>
      </c>
      <c r="J76" s="7">
        <v>0</v>
      </c>
      <c r="K76" s="6">
        <v>0</v>
      </c>
      <c r="L76" s="6">
        <v>0</v>
      </c>
    </row>
    <row r="77" spans="1:12" ht="36" customHeight="1" outlineLevel="1">
      <c r="A77" s="92"/>
      <c r="B77" s="89"/>
      <c r="C77" s="32" t="s">
        <v>5</v>
      </c>
      <c r="D77" s="7"/>
      <c r="E77" s="7"/>
      <c r="F77" s="7"/>
      <c r="G77" s="7"/>
      <c r="H77" s="6"/>
      <c r="I77" s="6">
        <v>2993.94</v>
      </c>
      <c r="J77" s="6">
        <v>0</v>
      </c>
      <c r="K77" s="6">
        <v>0</v>
      </c>
      <c r="L77" s="6">
        <v>0</v>
      </c>
    </row>
    <row r="78" spans="1:12" ht="36" customHeight="1" outlineLevel="1">
      <c r="A78" s="92"/>
      <c r="B78" s="89"/>
      <c r="C78" s="59" t="s">
        <v>6</v>
      </c>
      <c r="D78" s="7"/>
      <c r="E78" s="7"/>
      <c r="F78" s="7"/>
      <c r="G78" s="7"/>
      <c r="H78" s="6"/>
      <c r="I78" s="6"/>
      <c r="J78" s="6"/>
      <c r="K78" s="6"/>
      <c r="L78" s="6"/>
    </row>
    <row r="79" spans="1:12" ht="26.25" customHeight="1" outlineLevel="1">
      <c r="A79" s="93"/>
      <c r="B79" s="90"/>
      <c r="C79" s="61" t="s">
        <v>16</v>
      </c>
      <c r="D79" s="6"/>
      <c r="E79" s="6"/>
      <c r="F79" s="6"/>
      <c r="G79" s="7"/>
      <c r="H79" s="6"/>
      <c r="I79" s="6"/>
      <c r="J79" s="6"/>
      <c r="K79" s="6"/>
      <c r="L79" s="6"/>
    </row>
    <row r="80" spans="1:12" ht="36" customHeight="1" outlineLevel="1">
      <c r="A80" s="91" t="s">
        <v>77</v>
      </c>
      <c r="B80" s="88"/>
      <c r="C80" s="45" t="s">
        <v>13</v>
      </c>
      <c r="D80" s="30">
        <f aca="true" t="shared" si="29" ref="D80:L80">D81+D82+D83+D84+D85</f>
        <v>0</v>
      </c>
      <c r="E80" s="30">
        <f t="shared" si="29"/>
        <v>0</v>
      </c>
      <c r="F80" s="30">
        <f t="shared" si="29"/>
        <v>0</v>
      </c>
      <c r="G80" s="5">
        <f t="shared" si="29"/>
        <v>0</v>
      </c>
      <c r="H80" s="6">
        <f t="shared" si="29"/>
        <v>34083927.660000004</v>
      </c>
      <c r="I80" s="6">
        <f t="shared" si="29"/>
        <v>26570215.200000003</v>
      </c>
      <c r="J80" s="6">
        <f t="shared" si="29"/>
        <v>35325981</v>
      </c>
      <c r="K80" s="6">
        <f t="shared" si="29"/>
        <v>38292119.86</v>
      </c>
      <c r="L80" s="6">
        <f t="shared" si="29"/>
        <v>38292119.86</v>
      </c>
    </row>
    <row r="81" spans="1:12" ht="36" customHeight="1" outlineLevel="1">
      <c r="A81" s="92"/>
      <c r="B81" s="89"/>
      <c r="C81" s="45" t="s">
        <v>14</v>
      </c>
      <c r="D81" s="6"/>
      <c r="E81" s="6"/>
      <c r="F81" s="6"/>
      <c r="G81" s="7"/>
      <c r="H81" s="6"/>
      <c r="I81" s="6"/>
      <c r="J81" s="6"/>
      <c r="K81" s="6"/>
      <c r="L81" s="6"/>
    </row>
    <row r="82" spans="1:12" ht="36" customHeight="1" outlineLevel="1">
      <c r="A82" s="92"/>
      <c r="B82" s="89"/>
      <c r="C82" s="31" t="s">
        <v>15</v>
      </c>
      <c r="D82" s="6"/>
      <c r="E82" s="6"/>
      <c r="F82" s="6"/>
      <c r="G82" s="7">
        <v>0</v>
      </c>
      <c r="H82" s="7">
        <f>23816868.8+0.03</f>
        <v>23816868.830000002</v>
      </c>
      <c r="I82" s="7">
        <f>24233622.6-5657792.63</f>
        <v>18575829.970000003</v>
      </c>
      <c r="J82" s="7">
        <f>24716618.7-37800-23650</f>
        <v>24655168.7</v>
      </c>
      <c r="K82" s="6">
        <v>26704182.7</v>
      </c>
      <c r="L82" s="6">
        <v>26704182.7</v>
      </c>
    </row>
    <row r="83" spans="1:12" ht="36" customHeight="1" outlineLevel="1">
      <c r="A83" s="92"/>
      <c r="B83" s="89"/>
      <c r="C83" s="32" t="s">
        <v>5</v>
      </c>
      <c r="D83" s="7"/>
      <c r="E83" s="7"/>
      <c r="F83" s="7"/>
      <c r="G83" s="7"/>
      <c r="H83" s="6">
        <f>10267058.86-0.03</f>
        <v>10267058.83</v>
      </c>
      <c r="I83" s="6">
        <f>12485196.54+37727-2103769.93-2424768.38</f>
        <v>7994385.2299999995</v>
      </c>
      <c r="J83" s="6">
        <f>10732262.3-37800-23650</f>
        <v>10670812.3</v>
      </c>
      <c r="K83" s="6">
        <v>11587937.16</v>
      </c>
      <c r="L83" s="6">
        <v>11587937.16</v>
      </c>
    </row>
    <row r="84" spans="1:12" ht="36" customHeight="1" outlineLevel="1">
      <c r="A84" s="92"/>
      <c r="B84" s="89"/>
      <c r="C84" s="44" t="s">
        <v>6</v>
      </c>
      <c r="D84" s="7"/>
      <c r="E84" s="7"/>
      <c r="F84" s="7"/>
      <c r="G84" s="7"/>
      <c r="H84" s="6"/>
      <c r="I84" s="6"/>
      <c r="J84" s="6"/>
      <c r="K84" s="6"/>
      <c r="L84" s="6"/>
    </row>
    <row r="85" spans="1:12" ht="26.25" customHeight="1" outlineLevel="1">
      <c r="A85" s="93"/>
      <c r="B85" s="90"/>
      <c r="C85" s="46" t="s">
        <v>16</v>
      </c>
      <c r="D85" s="6"/>
      <c r="E85" s="6"/>
      <c r="F85" s="6"/>
      <c r="G85" s="7"/>
      <c r="H85" s="6"/>
      <c r="I85" s="6"/>
      <c r="J85" s="6"/>
      <c r="K85" s="6"/>
      <c r="L85" s="6"/>
    </row>
    <row r="86" spans="1:12" ht="36" customHeight="1" outlineLevel="1">
      <c r="A86" s="91" t="s">
        <v>78</v>
      </c>
      <c r="B86" s="88"/>
      <c r="C86" s="56" t="s">
        <v>13</v>
      </c>
      <c r="D86" s="30">
        <f aca="true" t="shared" si="30" ref="D86:L86">D87+D88+D89+D90+D91</f>
        <v>0</v>
      </c>
      <c r="E86" s="30">
        <f t="shared" si="30"/>
        <v>0</v>
      </c>
      <c r="F86" s="30">
        <f t="shared" si="30"/>
        <v>0</v>
      </c>
      <c r="G86" s="5">
        <f t="shared" si="30"/>
        <v>0</v>
      </c>
      <c r="H86" s="6">
        <f t="shared" si="30"/>
        <v>0</v>
      </c>
      <c r="I86" s="6">
        <f t="shared" si="30"/>
        <v>4397200</v>
      </c>
      <c r="J86" s="6">
        <f t="shared" si="30"/>
        <v>0</v>
      </c>
      <c r="K86" s="6">
        <f t="shared" si="30"/>
        <v>0</v>
      </c>
      <c r="L86" s="6">
        <f t="shared" si="30"/>
        <v>0</v>
      </c>
    </row>
    <row r="87" spans="1:12" ht="36" customHeight="1" outlineLevel="1">
      <c r="A87" s="92"/>
      <c r="B87" s="89"/>
      <c r="C87" s="56" t="s">
        <v>14</v>
      </c>
      <c r="D87" s="6"/>
      <c r="E87" s="6"/>
      <c r="F87" s="6"/>
      <c r="G87" s="7"/>
      <c r="H87" s="6"/>
      <c r="I87" s="6">
        <v>4397200</v>
      </c>
      <c r="J87" s="6">
        <v>0</v>
      </c>
      <c r="K87" s="6">
        <v>0</v>
      </c>
      <c r="L87" s="6">
        <v>0</v>
      </c>
    </row>
    <row r="88" spans="1:12" ht="36" customHeight="1" outlineLevel="1">
      <c r="A88" s="92"/>
      <c r="B88" s="89"/>
      <c r="C88" s="31" t="s">
        <v>15</v>
      </c>
      <c r="D88" s="6"/>
      <c r="E88" s="6"/>
      <c r="F88" s="6"/>
      <c r="G88" s="7"/>
      <c r="H88" s="7"/>
      <c r="I88" s="7"/>
      <c r="J88" s="7"/>
      <c r="K88" s="6"/>
      <c r="L88" s="6"/>
    </row>
    <row r="89" spans="1:12" ht="36" customHeight="1" outlineLevel="1">
      <c r="A89" s="92"/>
      <c r="B89" s="89"/>
      <c r="C89" s="32" t="s">
        <v>5</v>
      </c>
      <c r="D89" s="7"/>
      <c r="E89" s="7"/>
      <c r="F89" s="7"/>
      <c r="G89" s="7"/>
      <c r="H89" s="6"/>
      <c r="I89" s="6"/>
      <c r="J89" s="6"/>
      <c r="K89" s="6"/>
      <c r="L89" s="6"/>
    </row>
    <row r="90" spans="1:12" ht="36" customHeight="1" outlineLevel="1">
      <c r="A90" s="92"/>
      <c r="B90" s="89"/>
      <c r="C90" s="58" t="s">
        <v>6</v>
      </c>
      <c r="D90" s="7"/>
      <c r="E90" s="7"/>
      <c r="F90" s="7"/>
      <c r="G90" s="7"/>
      <c r="H90" s="6"/>
      <c r="I90" s="6"/>
      <c r="J90" s="6"/>
      <c r="K90" s="6"/>
      <c r="L90" s="6"/>
    </row>
    <row r="91" spans="1:12" ht="37.5" customHeight="1" outlineLevel="1">
      <c r="A91" s="93"/>
      <c r="B91" s="90"/>
      <c r="C91" s="57" t="s">
        <v>16</v>
      </c>
      <c r="D91" s="6"/>
      <c r="E91" s="6"/>
      <c r="F91" s="6"/>
      <c r="G91" s="7"/>
      <c r="H91" s="6"/>
      <c r="I91" s="6"/>
      <c r="J91" s="6"/>
      <c r="K91" s="6"/>
      <c r="L91" s="6"/>
    </row>
    <row r="92" spans="1:12" ht="36" customHeight="1" outlineLevel="1">
      <c r="A92" s="91" t="s">
        <v>47</v>
      </c>
      <c r="B92" s="88"/>
      <c r="C92" s="45" t="s">
        <v>13</v>
      </c>
      <c r="D92" s="30">
        <f aca="true" t="shared" si="31" ref="D92:L92">D93+D94+D95+D96+D97</f>
        <v>163592000</v>
      </c>
      <c r="E92" s="30">
        <f t="shared" si="31"/>
        <v>157909000</v>
      </c>
      <c r="F92" s="30">
        <f t="shared" si="31"/>
        <v>148375500</v>
      </c>
      <c r="G92" s="5">
        <f t="shared" si="31"/>
        <v>0</v>
      </c>
      <c r="H92" s="6">
        <f t="shared" si="31"/>
        <v>0</v>
      </c>
      <c r="I92" s="6">
        <f t="shared" si="31"/>
        <v>0</v>
      </c>
      <c r="J92" s="6">
        <f t="shared" si="31"/>
        <v>0</v>
      </c>
      <c r="K92" s="6">
        <f t="shared" si="31"/>
        <v>0</v>
      </c>
      <c r="L92" s="6">
        <f t="shared" si="31"/>
        <v>0</v>
      </c>
    </row>
    <row r="93" spans="1:12" ht="36" customHeight="1" outlineLevel="1">
      <c r="A93" s="92"/>
      <c r="B93" s="89"/>
      <c r="C93" s="45" t="s">
        <v>14</v>
      </c>
      <c r="D93" s="6"/>
      <c r="E93" s="6"/>
      <c r="F93" s="6"/>
      <c r="G93" s="7"/>
      <c r="H93" s="6"/>
      <c r="I93" s="6"/>
      <c r="J93" s="6"/>
      <c r="K93" s="6"/>
      <c r="L93" s="6"/>
    </row>
    <row r="94" spans="1:12" ht="36" customHeight="1" outlineLevel="1">
      <c r="A94" s="92"/>
      <c r="B94" s="89"/>
      <c r="C94" s="31" t="s">
        <v>15</v>
      </c>
      <c r="D94" s="6">
        <v>163592000</v>
      </c>
      <c r="E94" s="6">
        <f>29650300+129878500-1619800</f>
        <v>157909000</v>
      </c>
      <c r="F94" s="6">
        <f>149270600-895100</f>
        <v>148375500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</row>
    <row r="95" spans="1:12" ht="36" customHeight="1" outlineLevel="1">
      <c r="A95" s="92"/>
      <c r="B95" s="89"/>
      <c r="C95" s="32" t="s">
        <v>5</v>
      </c>
      <c r="D95" s="7"/>
      <c r="E95" s="7"/>
      <c r="F95" s="7"/>
      <c r="G95" s="7"/>
      <c r="H95" s="6"/>
      <c r="I95" s="6"/>
      <c r="J95" s="6"/>
      <c r="K95" s="6"/>
      <c r="L95" s="6"/>
    </row>
    <row r="96" spans="1:12" ht="36" customHeight="1" outlineLevel="1">
      <c r="A96" s="92"/>
      <c r="B96" s="89"/>
      <c r="C96" s="44" t="s">
        <v>6</v>
      </c>
      <c r="D96" s="7"/>
      <c r="E96" s="7"/>
      <c r="F96" s="7"/>
      <c r="G96" s="7"/>
      <c r="H96" s="6"/>
      <c r="I96" s="6"/>
      <c r="J96" s="6"/>
      <c r="K96" s="6"/>
      <c r="L96" s="6"/>
    </row>
    <row r="97" spans="1:12" ht="22.5" customHeight="1" outlineLevel="1">
      <c r="A97" s="93"/>
      <c r="B97" s="90"/>
      <c r="C97" s="46" t="s">
        <v>16</v>
      </c>
      <c r="D97" s="6"/>
      <c r="E97" s="6"/>
      <c r="F97" s="6"/>
      <c r="G97" s="7"/>
      <c r="H97" s="6"/>
      <c r="I97" s="6"/>
      <c r="J97" s="6"/>
      <c r="K97" s="6"/>
      <c r="L97" s="6"/>
    </row>
    <row r="98" spans="1:12" ht="35.25" customHeight="1" outlineLevel="1">
      <c r="A98" s="118" t="s">
        <v>57</v>
      </c>
      <c r="B98" s="31"/>
      <c r="C98" s="45" t="s">
        <v>13</v>
      </c>
      <c r="D98" s="30">
        <f aca="true" t="shared" si="32" ref="D98:L98">D99+D100+D101+D102+D103</f>
        <v>410173</v>
      </c>
      <c r="E98" s="30">
        <f t="shared" si="32"/>
        <v>357000</v>
      </c>
      <c r="F98" s="30">
        <f t="shared" si="32"/>
        <v>426315.39999999997</v>
      </c>
      <c r="G98" s="5">
        <f t="shared" si="32"/>
        <v>553658.94</v>
      </c>
      <c r="H98" s="6">
        <f t="shared" si="32"/>
        <v>357376.63</v>
      </c>
      <c r="I98" s="6">
        <f t="shared" si="32"/>
        <v>377800</v>
      </c>
      <c r="J98" s="6">
        <f t="shared" si="32"/>
        <v>360039.39</v>
      </c>
      <c r="K98" s="6">
        <f t="shared" si="32"/>
        <v>0</v>
      </c>
      <c r="L98" s="6">
        <f t="shared" si="32"/>
        <v>0</v>
      </c>
    </row>
    <row r="99" spans="1:12" ht="35.25" customHeight="1" outlineLevel="1">
      <c r="A99" s="99"/>
      <c r="B99" s="33"/>
      <c r="C99" s="45" t="s">
        <v>14</v>
      </c>
      <c r="D99" s="6"/>
      <c r="E99" s="6"/>
      <c r="F99" s="6"/>
      <c r="G99" s="7"/>
      <c r="H99" s="6"/>
      <c r="I99" s="6"/>
      <c r="J99" s="6"/>
      <c r="K99" s="6"/>
      <c r="L99" s="6"/>
    </row>
    <row r="100" spans="1:12" ht="35.25" customHeight="1" outlineLevel="1">
      <c r="A100" s="99"/>
      <c r="B100" s="33"/>
      <c r="C100" s="31" t="s">
        <v>15</v>
      </c>
      <c r="D100" s="16"/>
      <c r="E100" s="16"/>
      <c r="F100" s="16"/>
      <c r="G100" s="8"/>
      <c r="J100" s="16"/>
      <c r="K100" s="16"/>
      <c r="L100" s="16"/>
    </row>
    <row r="101" spans="1:12" ht="35.25" customHeight="1" outlineLevel="1">
      <c r="A101" s="99"/>
      <c r="B101" s="33"/>
      <c r="C101" s="32" t="s">
        <v>5</v>
      </c>
      <c r="D101" s="6">
        <v>410173</v>
      </c>
      <c r="E101" s="9">
        <f>300000-267811+267811+57000</f>
        <v>357000</v>
      </c>
      <c r="F101" s="9">
        <f>300000+100000+23900.3+2415.1</f>
        <v>426315.39999999997</v>
      </c>
      <c r="G101" s="7">
        <v>553658.94</v>
      </c>
      <c r="H101" s="6">
        <v>357376.63</v>
      </c>
      <c r="I101" s="6">
        <f>596000-100000-68200-50000</f>
        <v>377800</v>
      </c>
      <c r="J101" s="6">
        <f>400000-39960.61</f>
        <v>360039.39</v>
      </c>
      <c r="K101" s="6">
        <v>0</v>
      </c>
      <c r="L101" s="6">
        <v>0</v>
      </c>
    </row>
    <row r="102" spans="1:12" ht="35.25" customHeight="1" outlineLevel="1">
      <c r="A102" s="99"/>
      <c r="B102" s="33"/>
      <c r="C102" s="44" t="s">
        <v>6</v>
      </c>
      <c r="D102" s="6"/>
      <c r="E102" s="6"/>
      <c r="F102" s="6"/>
      <c r="G102" s="7"/>
      <c r="H102" s="6"/>
      <c r="I102" s="6"/>
      <c r="J102" s="6"/>
      <c r="K102" s="6"/>
      <c r="L102" s="6"/>
    </row>
    <row r="103" spans="1:12" ht="21.75" customHeight="1" outlineLevel="1">
      <c r="A103" s="100"/>
      <c r="B103" s="33"/>
      <c r="C103" s="46" t="s">
        <v>16</v>
      </c>
      <c r="D103" s="6"/>
      <c r="E103" s="6"/>
      <c r="F103" s="6"/>
      <c r="G103" s="7"/>
      <c r="H103" s="6"/>
      <c r="I103" s="6"/>
      <c r="J103" s="6"/>
      <c r="K103" s="6"/>
      <c r="L103" s="6"/>
    </row>
    <row r="104" spans="1:12" ht="37.5" customHeight="1" outlineLevel="1">
      <c r="A104" s="119" t="s">
        <v>58</v>
      </c>
      <c r="B104" s="88"/>
      <c r="C104" s="45" t="s">
        <v>13</v>
      </c>
      <c r="D104" s="30">
        <f aca="true" t="shared" si="33" ref="D104:I104">D105+D106+D107+D108+D109</f>
        <v>100733.82</v>
      </c>
      <c r="E104" s="30">
        <f t="shared" si="33"/>
        <v>99288.65</v>
      </c>
      <c r="F104" s="30">
        <f t="shared" si="33"/>
        <v>137720.16</v>
      </c>
      <c r="G104" s="5">
        <f t="shared" si="33"/>
        <v>150000</v>
      </c>
      <c r="H104" s="6">
        <f t="shared" si="33"/>
        <v>153853</v>
      </c>
      <c r="I104" s="6">
        <f t="shared" si="33"/>
        <v>93210</v>
      </c>
      <c r="J104" s="6">
        <f>J105+J106+J107+J108+J109</f>
        <v>200000</v>
      </c>
      <c r="K104" s="6">
        <f>K105+K106+K107+K108+K109</f>
        <v>0</v>
      </c>
      <c r="L104" s="6">
        <f>L105+L106+L107+L108+L109</f>
        <v>0</v>
      </c>
    </row>
    <row r="105" spans="1:12" ht="37.5" customHeight="1" outlineLevel="1">
      <c r="A105" s="120"/>
      <c r="B105" s="89"/>
      <c r="C105" s="45" t="s">
        <v>14</v>
      </c>
      <c r="D105" s="6"/>
      <c r="E105" s="6"/>
      <c r="F105" s="6"/>
      <c r="G105" s="7"/>
      <c r="H105" s="6"/>
      <c r="I105" s="6"/>
      <c r="J105" s="6"/>
      <c r="K105" s="6"/>
      <c r="L105" s="6"/>
    </row>
    <row r="106" spans="1:12" ht="37.5" customHeight="1" outlineLevel="1">
      <c r="A106" s="120"/>
      <c r="B106" s="89"/>
      <c r="C106" s="31" t="s">
        <v>15</v>
      </c>
      <c r="D106" s="6"/>
      <c r="E106" s="6"/>
      <c r="F106" s="6"/>
      <c r="G106" s="7"/>
      <c r="H106" s="6"/>
      <c r="I106" s="6"/>
      <c r="J106" s="6"/>
      <c r="K106" s="6"/>
      <c r="L106" s="6"/>
    </row>
    <row r="107" spans="1:12" ht="37.5" customHeight="1" outlineLevel="1">
      <c r="A107" s="120"/>
      <c r="B107" s="89"/>
      <c r="C107" s="32" t="s">
        <v>5</v>
      </c>
      <c r="D107" s="6">
        <v>100733.82</v>
      </c>
      <c r="E107" s="6">
        <v>99288.65</v>
      </c>
      <c r="F107" s="6">
        <f>150000-2454.32-9825.52</f>
        <v>137720.16</v>
      </c>
      <c r="G107" s="7">
        <v>150000</v>
      </c>
      <c r="H107" s="6">
        <f>152000+1853</f>
        <v>153853</v>
      </c>
      <c r="I107" s="6">
        <v>93210</v>
      </c>
      <c r="J107" s="6">
        <v>200000</v>
      </c>
      <c r="K107" s="6">
        <v>0</v>
      </c>
      <c r="L107" s="6">
        <v>0</v>
      </c>
    </row>
    <row r="108" spans="1:12" ht="37.5" customHeight="1" outlineLevel="1">
      <c r="A108" s="120"/>
      <c r="B108" s="89"/>
      <c r="C108" s="44" t="s">
        <v>6</v>
      </c>
      <c r="D108" s="6"/>
      <c r="E108" s="6"/>
      <c r="F108" s="6"/>
      <c r="G108" s="7"/>
      <c r="H108" s="6"/>
      <c r="I108" s="6"/>
      <c r="J108" s="6"/>
      <c r="K108" s="6"/>
      <c r="L108" s="6"/>
    </row>
    <row r="109" spans="1:12" ht="37.5" customHeight="1" outlineLevel="1">
      <c r="A109" s="121"/>
      <c r="B109" s="90"/>
      <c r="C109" s="46" t="s">
        <v>16</v>
      </c>
      <c r="D109" s="6"/>
      <c r="E109" s="6"/>
      <c r="F109" s="6"/>
      <c r="G109" s="7"/>
      <c r="H109" s="6"/>
      <c r="I109" s="6"/>
      <c r="J109" s="6"/>
      <c r="K109" s="6"/>
      <c r="L109" s="6"/>
    </row>
    <row r="110" spans="1:12" s="24" customFormat="1" ht="33.75" customHeight="1" outlineLevel="1">
      <c r="A110" s="84" t="s">
        <v>22</v>
      </c>
      <c r="B110" s="102"/>
      <c r="C110" s="47" t="s">
        <v>13</v>
      </c>
      <c r="D110" s="4">
        <f aca="true" t="shared" si="34" ref="D110:L110">D116+D134+D158+D194+D176+D182+D188+D152+D212</f>
        <v>27000286.42</v>
      </c>
      <c r="E110" s="4">
        <f t="shared" si="34"/>
        <v>23291589.099999998</v>
      </c>
      <c r="F110" s="4">
        <f t="shared" si="34"/>
        <v>32364661.229999997</v>
      </c>
      <c r="G110" s="4">
        <f t="shared" si="34"/>
        <v>26343956.28</v>
      </c>
      <c r="H110" s="4">
        <f t="shared" si="34"/>
        <v>29145666.48</v>
      </c>
      <c r="I110" s="4">
        <f t="shared" si="34"/>
        <v>25001578.569999993</v>
      </c>
      <c r="J110" s="4">
        <f t="shared" si="34"/>
        <v>25267348.12</v>
      </c>
      <c r="K110" s="4">
        <f t="shared" si="34"/>
        <v>16554126.879999999</v>
      </c>
      <c r="L110" s="4">
        <f t="shared" si="34"/>
        <v>16375339</v>
      </c>
    </row>
    <row r="111" spans="1:12" s="24" customFormat="1" ht="33.75" customHeight="1" outlineLevel="1">
      <c r="A111" s="85"/>
      <c r="B111" s="102"/>
      <c r="C111" s="22" t="s">
        <v>14</v>
      </c>
      <c r="D111" s="4">
        <f aca="true" t="shared" si="35" ref="D111:L111">D117+D135+D159+D195+D177+D183+D189+D153+D213</f>
        <v>2500000</v>
      </c>
      <c r="E111" s="4">
        <f t="shared" si="35"/>
        <v>0</v>
      </c>
      <c r="F111" s="4">
        <f t="shared" si="35"/>
        <v>0</v>
      </c>
      <c r="G111" s="4">
        <f t="shared" si="35"/>
        <v>0</v>
      </c>
      <c r="H111" s="4">
        <f t="shared" si="35"/>
        <v>0</v>
      </c>
      <c r="I111" s="4">
        <f t="shared" si="35"/>
        <v>1631770</v>
      </c>
      <c r="J111" s="4">
        <f t="shared" si="35"/>
        <v>3981249.79</v>
      </c>
      <c r="K111" s="4">
        <f t="shared" si="35"/>
        <v>4275071.42</v>
      </c>
      <c r="L111" s="4">
        <f t="shared" si="35"/>
        <v>4147631.75</v>
      </c>
    </row>
    <row r="112" spans="1:12" s="24" customFormat="1" ht="47.25" customHeight="1" outlineLevel="1">
      <c r="A112" s="85"/>
      <c r="B112" s="102"/>
      <c r="C112" s="22" t="s">
        <v>15</v>
      </c>
      <c r="D112" s="4">
        <f aca="true" t="shared" si="36" ref="D112:L112">D118+D136+D160+D196+D178+D184+D190+D154+D214</f>
        <v>16476928.82</v>
      </c>
      <c r="E112" s="4">
        <f t="shared" si="36"/>
        <v>15340141.7</v>
      </c>
      <c r="F112" s="4">
        <f t="shared" si="36"/>
        <v>13350435.969999999</v>
      </c>
      <c r="G112" s="4">
        <f t="shared" si="36"/>
        <v>13849795</v>
      </c>
      <c r="H112" s="4">
        <f t="shared" si="36"/>
        <v>18609942.4</v>
      </c>
      <c r="I112" s="4">
        <f t="shared" si="36"/>
        <v>13095771.219999999</v>
      </c>
      <c r="J112" s="4">
        <f t="shared" si="36"/>
        <v>12828830.21</v>
      </c>
      <c r="K112" s="4">
        <f t="shared" si="36"/>
        <v>12001468.58</v>
      </c>
      <c r="L112" s="4">
        <f t="shared" si="36"/>
        <v>11951908.25</v>
      </c>
    </row>
    <row r="113" spans="1:12" s="24" customFormat="1" ht="33.75" customHeight="1" outlineLevel="1">
      <c r="A113" s="85"/>
      <c r="B113" s="102"/>
      <c r="C113" s="25" t="s">
        <v>5</v>
      </c>
      <c r="D113" s="4">
        <f aca="true" t="shared" si="37" ref="D113:L113">D119+D137+D161+D197+D179+D185+D191+D155+D215</f>
        <v>8023357.6</v>
      </c>
      <c r="E113" s="4">
        <f t="shared" si="37"/>
        <v>7951447.399999999</v>
      </c>
      <c r="F113" s="4">
        <f t="shared" si="37"/>
        <v>19014225.259999998</v>
      </c>
      <c r="G113" s="4">
        <f t="shared" si="37"/>
        <v>12494161.28</v>
      </c>
      <c r="H113" s="4">
        <f t="shared" si="37"/>
        <v>10535724.08</v>
      </c>
      <c r="I113" s="4">
        <f t="shared" si="37"/>
        <v>10274037.349999996</v>
      </c>
      <c r="J113" s="4">
        <f t="shared" si="37"/>
        <v>8457268.120000001</v>
      </c>
      <c r="K113" s="4">
        <f t="shared" si="37"/>
        <v>277586.88</v>
      </c>
      <c r="L113" s="4">
        <f t="shared" si="37"/>
        <v>275799</v>
      </c>
    </row>
    <row r="114" spans="1:12" s="24" customFormat="1" ht="43.5" customHeight="1" outlineLevel="1">
      <c r="A114" s="85"/>
      <c r="B114" s="102"/>
      <c r="C114" s="51" t="s">
        <v>6</v>
      </c>
      <c r="D114" s="4">
        <f aca="true" t="shared" si="38" ref="D114:L114">D120+D138+D162+D198+D180+D186+D192+D156+D216</f>
        <v>0</v>
      </c>
      <c r="E114" s="4">
        <f t="shared" si="38"/>
        <v>0</v>
      </c>
      <c r="F114" s="4">
        <f t="shared" si="38"/>
        <v>0</v>
      </c>
      <c r="G114" s="4">
        <f t="shared" si="38"/>
        <v>0</v>
      </c>
      <c r="H114" s="4">
        <f t="shared" si="38"/>
        <v>0</v>
      </c>
      <c r="I114" s="4">
        <f t="shared" si="38"/>
        <v>0</v>
      </c>
      <c r="J114" s="4">
        <f t="shared" si="38"/>
        <v>0</v>
      </c>
      <c r="K114" s="4">
        <f t="shared" si="38"/>
        <v>0</v>
      </c>
      <c r="L114" s="4">
        <f t="shared" si="38"/>
        <v>0</v>
      </c>
    </row>
    <row r="115" spans="1:12" s="24" customFormat="1" ht="33.75" customHeight="1" outlineLevel="1">
      <c r="A115" s="85"/>
      <c r="B115" s="102"/>
      <c r="C115" s="47" t="s">
        <v>16</v>
      </c>
      <c r="D115" s="4">
        <f aca="true" t="shared" si="39" ref="D115:L115">D121+D139+D163+D199+D181+D187+D193+D157+D217</f>
        <v>0</v>
      </c>
      <c r="E115" s="4">
        <f t="shared" si="39"/>
        <v>0</v>
      </c>
      <c r="F115" s="4">
        <f t="shared" si="39"/>
        <v>0</v>
      </c>
      <c r="G115" s="4">
        <f t="shared" si="39"/>
        <v>0</v>
      </c>
      <c r="H115" s="4">
        <f t="shared" si="39"/>
        <v>0</v>
      </c>
      <c r="I115" s="4">
        <f t="shared" si="39"/>
        <v>0</v>
      </c>
      <c r="J115" s="4">
        <f t="shared" si="39"/>
        <v>0</v>
      </c>
      <c r="K115" s="4">
        <f t="shared" si="39"/>
        <v>0</v>
      </c>
      <c r="L115" s="4">
        <f t="shared" si="39"/>
        <v>0</v>
      </c>
    </row>
    <row r="116" spans="1:12" ht="36" customHeight="1" outlineLevel="1">
      <c r="A116" s="72" t="s">
        <v>86</v>
      </c>
      <c r="B116" s="94"/>
      <c r="C116" s="31" t="s">
        <v>13</v>
      </c>
      <c r="D116" s="6">
        <f aca="true" t="shared" si="40" ref="D116:I116">D117+D118+D119+D120+D121</f>
        <v>211173</v>
      </c>
      <c r="E116" s="6">
        <f t="shared" si="40"/>
        <v>128253.9</v>
      </c>
      <c r="F116" s="6">
        <f t="shared" si="40"/>
        <v>137008.3</v>
      </c>
      <c r="G116" s="7">
        <f t="shared" si="40"/>
        <v>159465.95</v>
      </c>
      <c r="H116" s="6">
        <f t="shared" si="40"/>
        <v>179579</v>
      </c>
      <c r="I116" s="6">
        <f t="shared" si="40"/>
        <v>134128</v>
      </c>
      <c r="J116" s="6">
        <f>J117+J118+J119+J120+J121</f>
        <v>200000</v>
      </c>
      <c r="K116" s="6">
        <f>K117+K118+K119+K120+K121</f>
        <v>0</v>
      </c>
      <c r="L116" s="6">
        <f>L117+L118+L119+L120+L121</f>
        <v>0</v>
      </c>
    </row>
    <row r="117" spans="1:12" ht="36" customHeight="1" outlineLevel="1">
      <c r="A117" s="80"/>
      <c r="B117" s="94"/>
      <c r="C117" s="31" t="s">
        <v>14</v>
      </c>
      <c r="D117" s="6"/>
      <c r="E117" s="6"/>
      <c r="F117" s="6"/>
      <c r="G117" s="7"/>
      <c r="H117" s="6"/>
      <c r="I117" s="6"/>
      <c r="J117" s="6"/>
      <c r="K117" s="6"/>
      <c r="L117" s="6"/>
    </row>
    <row r="118" spans="1:12" ht="36" customHeight="1" outlineLevel="1">
      <c r="A118" s="80"/>
      <c r="B118" s="94"/>
      <c r="C118" s="31" t="s">
        <v>15</v>
      </c>
      <c r="D118" s="30"/>
      <c r="E118" s="30"/>
      <c r="F118" s="30"/>
      <c r="G118" s="5"/>
      <c r="H118" s="6"/>
      <c r="I118" s="6"/>
      <c r="J118" s="6"/>
      <c r="K118" s="6"/>
      <c r="L118" s="6"/>
    </row>
    <row r="119" spans="1:12" ht="36" customHeight="1" outlineLevel="1">
      <c r="A119" s="80"/>
      <c r="B119" s="94"/>
      <c r="C119" s="32" t="s">
        <v>5</v>
      </c>
      <c r="D119" s="6">
        <v>211173</v>
      </c>
      <c r="E119" s="6">
        <v>128253.9</v>
      </c>
      <c r="F119" s="6">
        <f>137008.3</f>
        <v>137008.3</v>
      </c>
      <c r="G119" s="7">
        <v>159465.95</v>
      </c>
      <c r="H119" s="6">
        <v>179579</v>
      </c>
      <c r="I119" s="6">
        <f>200000-65872</f>
        <v>134128</v>
      </c>
      <c r="J119" s="6">
        <v>200000</v>
      </c>
      <c r="K119" s="6">
        <v>0</v>
      </c>
      <c r="L119" s="6">
        <v>0</v>
      </c>
    </row>
    <row r="120" spans="1:12" ht="36" customHeight="1" outlineLevel="1">
      <c r="A120" s="80"/>
      <c r="B120" s="94"/>
      <c r="C120" s="44" t="s">
        <v>6</v>
      </c>
      <c r="D120" s="6"/>
      <c r="E120" s="6"/>
      <c r="F120" s="6"/>
      <c r="G120" s="7"/>
      <c r="H120" s="6"/>
      <c r="I120" s="6"/>
      <c r="J120" s="6"/>
      <c r="K120" s="6"/>
      <c r="L120" s="6"/>
    </row>
    <row r="121" spans="1:12" ht="36" customHeight="1" outlineLevel="1">
      <c r="A121" s="81"/>
      <c r="B121" s="94"/>
      <c r="C121" s="31" t="s">
        <v>16</v>
      </c>
      <c r="D121" s="6"/>
      <c r="E121" s="6"/>
      <c r="F121" s="6"/>
      <c r="G121" s="7"/>
      <c r="H121" s="6"/>
      <c r="I121" s="6"/>
      <c r="J121" s="6"/>
      <c r="K121" s="6"/>
      <c r="L121" s="6"/>
    </row>
    <row r="122" spans="1:12" ht="36" customHeight="1" outlineLevel="1">
      <c r="A122" s="72" t="s">
        <v>88</v>
      </c>
      <c r="B122" s="75"/>
      <c r="C122" s="31" t="s">
        <v>13</v>
      </c>
      <c r="D122" s="6">
        <f aca="true" t="shared" si="41" ref="D122:I122">D123+D124+D125+D126+D127</f>
        <v>0</v>
      </c>
      <c r="E122" s="6">
        <f t="shared" si="41"/>
        <v>0</v>
      </c>
      <c r="F122" s="6">
        <f t="shared" si="41"/>
        <v>0</v>
      </c>
      <c r="G122" s="7">
        <f t="shared" si="41"/>
        <v>0</v>
      </c>
      <c r="H122" s="6">
        <f t="shared" si="41"/>
        <v>0</v>
      </c>
      <c r="I122" s="6">
        <f t="shared" si="41"/>
        <v>0</v>
      </c>
      <c r="J122" s="6">
        <f>J123+J124+J125+J126+J127</f>
        <v>0</v>
      </c>
      <c r="K122" s="6">
        <f>K123+K124+K125+K126+K127</f>
        <v>0</v>
      </c>
      <c r="L122" s="6">
        <f>L123+L124+L125+L126+L127</f>
        <v>0</v>
      </c>
    </row>
    <row r="123" spans="1:12" ht="36" customHeight="1" outlineLevel="1">
      <c r="A123" s="73"/>
      <c r="B123" s="76"/>
      <c r="C123" s="31" t="s">
        <v>14</v>
      </c>
      <c r="D123" s="6"/>
      <c r="E123" s="6"/>
      <c r="F123" s="6"/>
      <c r="G123" s="7"/>
      <c r="H123" s="6"/>
      <c r="I123" s="6"/>
      <c r="J123" s="6"/>
      <c r="K123" s="6"/>
      <c r="L123" s="6"/>
    </row>
    <row r="124" spans="1:12" ht="36" customHeight="1" outlineLevel="1">
      <c r="A124" s="73"/>
      <c r="B124" s="76"/>
      <c r="C124" s="31" t="s">
        <v>15</v>
      </c>
      <c r="D124" s="6"/>
      <c r="E124" s="6"/>
      <c r="F124" s="6"/>
      <c r="G124" s="7"/>
      <c r="H124" s="6"/>
      <c r="I124" s="6"/>
      <c r="J124" s="6"/>
      <c r="K124" s="6"/>
      <c r="L124" s="6"/>
    </row>
    <row r="125" spans="1:12" ht="36" customHeight="1" outlineLevel="1">
      <c r="A125" s="73"/>
      <c r="B125" s="76"/>
      <c r="C125" s="31" t="s">
        <v>5</v>
      </c>
      <c r="D125" s="6"/>
      <c r="E125" s="6"/>
      <c r="F125" s="6"/>
      <c r="G125" s="7"/>
      <c r="H125" s="6"/>
      <c r="I125" s="6"/>
      <c r="J125" s="6"/>
      <c r="K125" s="6"/>
      <c r="L125" s="6"/>
    </row>
    <row r="126" spans="1:12" ht="36" customHeight="1" outlineLevel="1">
      <c r="A126" s="73"/>
      <c r="B126" s="76"/>
      <c r="C126" s="31" t="s">
        <v>6</v>
      </c>
      <c r="D126" s="6"/>
      <c r="E126" s="6"/>
      <c r="F126" s="6"/>
      <c r="G126" s="7"/>
      <c r="H126" s="6"/>
      <c r="I126" s="6"/>
      <c r="J126" s="6"/>
      <c r="K126" s="6"/>
      <c r="L126" s="6"/>
    </row>
    <row r="127" spans="1:12" ht="36" customHeight="1" outlineLevel="1">
      <c r="A127" s="74"/>
      <c r="B127" s="77"/>
      <c r="C127" s="31" t="s">
        <v>16</v>
      </c>
      <c r="D127" s="6"/>
      <c r="E127" s="6"/>
      <c r="F127" s="6"/>
      <c r="G127" s="7"/>
      <c r="H127" s="6"/>
      <c r="I127" s="6"/>
      <c r="J127" s="6"/>
      <c r="K127" s="6"/>
      <c r="L127" s="6"/>
    </row>
    <row r="128" spans="1:12" ht="36" customHeight="1" outlineLevel="1">
      <c r="A128" s="129" t="s">
        <v>87</v>
      </c>
      <c r="B128" s="88"/>
      <c r="C128" s="31" t="s">
        <v>13</v>
      </c>
      <c r="D128" s="6">
        <f aca="true" t="shared" si="42" ref="D128:I128">D129+D130+D131+D132+D133</f>
        <v>0</v>
      </c>
      <c r="E128" s="6">
        <f t="shared" si="42"/>
        <v>0</v>
      </c>
      <c r="F128" s="6">
        <f t="shared" si="42"/>
        <v>0</v>
      </c>
      <c r="G128" s="7">
        <f t="shared" si="42"/>
        <v>0</v>
      </c>
      <c r="H128" s="6">
        <f t="shared" si="42"/>
        <v>0</v>
      </c>
      <c r="I128" s="6">
        <f t="shared" si="42"/>
        <v>0</v>
      </c>
      <c r="J128" s="6">
        <f>J129+J130+J131+J132+J133</f>
        <v>0</v>
      </c>
      <c r="K128" s="6">
        <f>K129+K130+K131+K132+K133</f>
        <v>0</v>
      </c>
      <c r="L128" s="6">
        <f>L129+L130+L131+L132+L133</f>
        <v>0</v>
      </c>
    </row>
    <row r="129" spans="1:12" ht="36" customHeight="1" outlineLevel="1">
      <c r="A129" s="130"/>
      <c r="B129" s="89"/>
      <c r="C129" s="31" t="s">
        <v>14</v>
      </c>
      <c r="D129" s="6"/>
      <c r="E129" s="6"/>
      <c r="F129" s="6"/>
      <c r="G129" s="7"/>
      <c r="H129" s="6"/>
      <c r="I129" s="6"/>
      <c r="J129" s="6"/>
      <c r="K129" s="6"/>
      <c r="L129" s="6"/>
    </row>
    <row r="130" spans="1:12" ht="36" customHeight="1" outlineLevel="1">
      <c r="A130" s="130"/>
      <c r="B130" s="89"/>
      <c r="C130" s="31" t="s">
        <v>15</v>
      </c>
      <c r="D130" s="6"/>
      <c r="E130" s="6"/>
      <c r="F130" s="6"/>
      <c r="G130" s="7"/>
      <c r="H130" s="6"/>
      <c r="I130" s="6"/>
      <c r="J130" s="6"/>
      <c r="K130" s="6"/>
      <c r="L130" s="6"/>
    </row>
    <row r="131" spans="1:12" ht="36" customHeight="1" outlineLevel="1">
      <c r="A131" s="130"/>
      <c r="B131" s="89"/>
      <c r="C131" s="31" t="s">
        <v>5</v>
      </c>
      <c r="D131" s="6"/>
      <c r="E131" s="6"/>
      <c r="F131" s="6"/>
      <c r="G131" s="7"/>
      <c r="H131" s="6"/>
      <c r="I131" s="6"/>
      <c r="J131" s="6"/>
      <c r="K131" s="6"/>
      <c r="L131" s="6"/>
    </row>
    <row r="132" spans="1:12" ht="36" customHeight="1" outlineLevel="1">
      <c r="A132" s="130"/>
      <c r="B132" s="89"/>
      <c r="C132" s="31" t="s">
        <v>6</v>
      </c>
      <c r="D132" s="6"/>
      <c r="E132" s="6"/>
      <c r="F132" s="6"/>
      <c r="G132" s="7"/>
      <c r="H132" s="6"/>
      <c r="I132" s="6"/>
      <c r="J132" s="6"/>
      <c r="K132" s="6"/>
      <c r="L132" s="6"/>
    </row>
    <row r="133" spans="1:12" ht="36" customHeight="1" outlineLevel="1">
      <c r="A133" s="131"/>
      <c r="B133" s="90"/>
      <c r="C133" s="31" t="s">
        <v>16</v>
      </c>
      <c r="D133" s="6"/>
      <c r="E133" s="6"/>
      <c r="F133" s="6"/>
      <c r="G133" s="7"/>
      <c r="H133" s="6"/>
      <c r="I133" s="6"/>
      <c r="J133" s="6"/>
      <c r="K133" s="6"/>
      <c r="L133" s="6"/>
    </row>
    <row r="134" spans="1:12" ht="36" customHeight="1" outlineLevel="1">
      <c r="A134" s="79" t="s">
        <v>46</v>
      </c>
      <c r="B134" s="94"/>
      <c r="C134" s="31" t="s">
        <v>13</v>
      </c>
      <c r="D134" s="6">
        <f aca="true" t="shared" si="43" ref="D134:I134">D135+D136+D137+D138+D139</f>
        <v>419921.5</v>
      </c>
      <c r="E134" s="6">
        <f t="shared" si="43"/>
        <v>435278.28</v>
      </c>
      <c r="F134" s="6">
        <f t="shared" si="43"/>
        <v>477873.81</v>
      </c>
      <c r="G134" s="7">
        <f t="shared" si="43"/>
        <v>580304.21</v>
      </c>
      <c r="H134" s="6">
        <f t="shared" si="43"/>
        <v>636639.22</v>
      </c>
      <c r="I134" s="6">
        <f t="shared" si="43"/>
        <v>702752.7</v>
      </c>
      <c r="J134" s="6">
        <f>J135+J136+J137+J138+J139</f>
        <v>820000</v>
      </c>
      <c r="K134" s="6">
        <f>K135+K136+K137+K138+K139</f>
        <v>0</v>
      </c>
      <c r="L134" s="6">
        <f>L135+L136+L137+L138+L139</f>
        <v>0</v>
      </c>
    </row>
    <row r="135" spans="1:12" ht="36" customHeight="1" outlineLevel="1">
      <c r="A135" s="79"/>
      <c r="B135" s="94"/>
      <c r="C135" s="31" t="s">
        <v>14</v>
      </c>
      <c r="D135" s="6"/>
      <c r="E135" s="6"/>
      <c r="F135" s="6"/>
      <c r="G135" s="7"/>
      <c r="H135" s="6"/>
      <c r="I135" s="6"/>
      <c r="J135" s="6"/>
      <c r="K135" s="6"/>
      <c r="L135" s="6"/>
    </row>
    <row r="136" spans="1:12" ht="36" customHeight="1" outlineLevel="1">
      <c r="A136" s="79"/>
      <c r="B136" s="94"/>
      <c r="C136" s="31" t="s">
        <v>15</v>
      </c>
      <c r="D136" s="6"/>
      <c r="E136" s="6"/>
      <c r="F136" s="6"/>
      <c r="G136" s="7"/>
      <c r="H136" s="6"/>
      <c r="I136" s="6"/>
      <c r="J136" s="6"/>
      <c r="K136" s="6"/>
      <c r="L136" s="6"/>
    </row>
    <row r="137" spans="1:12" ht="36" customHeight="1" outlineLevel="1">
      <c r="A137" s="79"/>
      <c r="B137" s="94"/>
      <c r="C137" s="32" t="s">
        <v>5</v>
      </c>
      <c r="D137" s="6">
        <v>419921.5</v>
      </c>
      <c r="E137" s="6">
        <v>435278.28</v>
      </c>
      <c r="F137" s="6">
        <f>477873.81</f>
        <v>477873.81</v>
      </c>
      <c r="G137" s="7">
        <f aca="true" t="shared" si="44" ref="G137:L137">G143+G149</f>
        <v>580304.21</v>
      </c>
      <c r="H137" s="7">
        <f t="shared" si="44"/>
        <v>636639.22</v>
      </c>
      <c r="I137" s="7">
        <f t="shared" si="44"/>
        <v>702752.7</v>
      </c>
      <c r="J137" s="7">
        <f t="shared" si="44"/>
        <v>820000</v>
      </c>
      <c r="K137" s="6">
        <f t="shared" si="44"/>
        <v>0</v>
      </c>
      <c r="L137" s="6">
        <f t="shared" si="44"/>
        <v>0</v>
      </c>
    </row>
    <row r="138" spans="1:12" ht="36" customHeight="1" outlineLevel="1">
      <c r="A138" s="79"/>
      <c r="B138" s="94"/>
      <c r="C138" s="44" t="s">
        <v>6</v>
      </c>
      <c r="D138" s="6"/>
      <c r="E138" s="6"/>
      <c r="F138" s="6"/>
      <c r="G138" s="7"/>
      <c r="H138" s="6"/>
      <c r="I138" s="6"/>
      <c r="J138" s="6"/>
      <c r="K138" s="6"/>
      <c r="L138" s="6"/>
    </row>
    <row r="139" spans="1:12" ht="36" customHeight="1" outlineLevel="1">
      <c r="A139" s="79"/>
      <c r="B139" s="94"/>
      <c r="C139" s="31" t="s">
        <v>16</v>
      </c>
      <c r="D139" s="6"/>
      <c r="E139" s="6"/>
      <c r="F139" s="6"/>
      <c r="G139" s="7"/>
      <c r="H139" s="6"/>
      <c r="I139" s="6"/>
      <c r="J139" s="6"/>
      <c r="K139" s="6"/>
      <c r="L139" s="6"/>
    </row>
    <row r="140" spans="1:12" ht="36" customHeight="1" outlineLevel="1">
      <c r="A140" s="79" t="s">
        <v>37</v>
      </c>
      <c r="B140" s="94"/>
      <c r="C140" s="31" t="s">
        <v>13</v>
      </c>
      <c r="D140" s="6">
        <f aca="true" t="shared" si="45" ref="D140:I140">D141+D142+D143+D144+D145</f>
        <v>419921.5</v>
      </c>
      <c r="E140" s="6">
        <f t="shared" si="45"/>
        <v>435278.28</v>
      </c>
      <c r="F140" s="6">
        <f t="shared" si="45"/>
        <v>405364.23</v>
      </c>
      <c r="G140" s="7">
        <f t="shared" si="45"/>
        <v>371263.79</v>
      </c>
      <c r="H140" s="6">
        <f t="shared" si="45"/>
        <v>379539.22</v>
      </c>
      <c r="I140" s="6">
        <f t="shared" si="45"/>
        <v>324400</v>
      </c>
      <c r="J140" s="6">
        <f>J141+J142+J143+J144+J145</f>
        <v>490000</v>
      </c>
      <c r="K140" s="6">
        <f>K141+K142+K143+K144+K145</f>
        <v>0</v>
      </c>
      <c r="L140" s="6">
        <f>L141+L142+L143+L144+L145</f>
        <v>0</v>
      </c>
    </row>
    <row r="141" spans="1:12" ht="36" customHeight="1" outlineLevel="1">
      <c r="A141" s="79"/>
      <c r="B141" s="94"/>
      <c r="C141" s="31" t="s">
        <v>14</v>
      </c>
      <c r="D141" s="6"/>
      <c r="E141" s="6"/>
      <c r="F141" s="6"/>
      <c r="G141" s="7"/>
      <c r="H141" s="6"/>
      <c r="I141" s="6"/>
      <c r="J141" s="6"/>
      <c r="K141" s="6"/>
      <c r="L141" s="6"/>
    </row>
    <row r="142" spans="1:12" ht="36" customHeight="1" outlineLevel="1">
      <c r="A142" s="79"/>
      <c r="B142" s="94"/>
      <c r="C142" s="31" t="s">
        <v>15</v>
      </c>
      <c r="D142" s="6"/>
      <c r="E142" s="6"/>
      <c r="F142" s="6"/>
      <c r="G142" s="7"/>
      <c r="H142" s="6"/>
      <c r="I142" s="6"/>
      <c r="J142" s="6"/>
      <c r="K142" s="6"/>
      <c r="L142" s="6"/>
    </row>
    <row r="143" spans="1:12" ht="36" customHeight="1" outlineLevel="1">
      <c r="A143" s="79"/>
      <c r="B143" s="94"/>
      <c r="C143" s="32" t="s">
        <v>5</v>
      </c>
      <c r="D143" s="6">
        <v>419921.5</v>
      </c>
      <c r="E143" s="6">
        <v>435278.28</v>
      </c>
      <c r="F143" s="6">
        <v>405364.23</v>
      </c>
      <c r="G143" s="7">
        <v>371263.79</v>
      </c>
      <c r="H143" s="6">
        <v>379539.22</v>
      </c>
      <c r="I143" s="6">
        <f>500000-60800-50000-64800</f>
        <v>324400</v>
      </c>
      <c r="J143" s="6">
        <v>490000</v>
      </c>
      <c r="K143" s="6">
        <v>0</v>
      </c>
      <c r="L143" s="6">
        <v>0</v>
      </c>
    </row>
    <row r="144" spans="1:12" ht="36" customHeight="1" outlineLevel="1">
      <c r="A144" s="79"/>
      <c r="B144" s="94"/>
      <c r="C144" s="44" t="s">
        <v>6</v>
      </c>
      <c r="D144" s="6"/>
      <c r="E144" s="6"/>
      <c r="F144" s="6"/>
      <c r="G144" s="7"/>
      <c r="H144" s="6"/>
      <c r="I144" s="6"/>
      <c r="J144" s="6"/>
      <c r="K144" s="6"/>
      <c r="L144" s="6"/>
    </row>
    <row r="145" spans="1:12" ht="36" customHeight="1" outlineLevel="1">
      <c r="A145" s="79"/>
      <c r="B145" s="94"/>
      <c r="C145" s="31" t="s">
        <v>16</v>
      </c>
      <c r="D145" s="6"/>
      <c r="E145" s="6"/>
      <c r="F145" s="6"/>
      <c r="G145" s="7"/>
      <c r="H145" s="6"/>
      <c r="I145" s="6"/>
      <c r="J145" s="6"/>
      <c r="K145" s="6"/>
      <c r="L145" s="6"/>
    </row>
    <row r="146" spans="1:12" ht="36" customHeight="1" outlineLevel="1">
      <c r="A146" s="79" t="s">
        <v>36</v>
      </c>
      <c r="B146" s="94"/>
      <c r="C146" s="31" t="s">
        <v>13</v>
      </c>
      <c r="D146" s="6">
        <f aca="true" t="shared" si="46" ref="D146:J146">D147+D148+D149+D150+D151</f>
        <v>0</v>
      </c>
      <c r="E146" s="6">
        <f t="shared" si="46"/>
        <v>0</v>
      </c>
      <c r="F146" s="6">
        <f t="shared" si="46"/>
        <v>72509.58</v>
      </c>
      <c r="G146" s="7">
        <f t="shared" si="46"/>
        <v>209040.42</v>
      </c>
      <c r="H146" s="7">
        <f t="shared" si="46"/>
        <v>257100</v>
      </c>
      <c r="I146" s="6">
        <f t="shared" si="46"/>
        <v>378352.7</v>
      </c>
      <c r="J146" s="6">
        <f t="shared" si="46"/>
        <v>330000</v>
      </c>
      <c r="K146" s="6">
        <f>K147+K148+K149+K150+K151</f>
        <v>0</v>
      </c>
      <c r="L146" s="6">
        <f>L147+L148+L149+L150+L151</f>
        <v>0</v>
      </c>
    </row>
    <row r="147" spans="1:12" ht="36" customHeight="1" outlineLevel="1">
      <c r="A147" s="79"/>
      <c r="B147" s="94"/>
      <c r="C147" s="31" t="s">
        <v>14</v>
      </c>
      <c r="D147" s="6"/>
      <c r="E147" s="6"/>
      <c r="F147" s="6"/>
      <c r="G147" s="7"/>
      <c r="H147" s="6"/>
      <c r="I147" s="6"/>
      <c r="J147" s="6"/>
      <c r="K147" s="6"/>
      <c r="L147" s="6"/>
    </row>
    <row r="148" spans="1:12" ht="36" customHeight="1" outlineLevel="1">
      <c r="A148" s="79"/>
      <c r="B148" s="94"/>
      <c r="C148" s="31" t="s">
        <v>15</v>
      </c>
      <c r="D148" s="6"/>
      <c r="E148" s="6"/>
      <c r="F148" s="6"/>
      <c r="G148" s="7"/>
      <c r="H148" s="6"/>
      <c r="I148" s="6"/>
      <c r="J148" s="6"/>
      <c r="K148" s="6"/>
      <c r="L148" s="6"/>
    </row>
    <row r="149" spans="1:12" ht="36" customHeight="1" outlineLevel="1">
      <c r="A149" s="79"/>
      <c r="B149" s="94"/>
      <c r="C149" s="32" t="s">
        <v>5</v>
      </c>
      <c r="D149" s="6">
        <v>0</v>
      </c>
      <c r="E149" s="6">
        <v>0</v>
      </c>
      <c r="F149" s="6">
        <f>72509.58</f>
        <v>72509.58</v>
      </c>
      <c r="G149" s="7">
        <v>209040.42</v>
      </c>
      <c r="H149" s="6">
        <v>257100</v>
      </c>
      <c r="I149" s="6">
        <f>300000+226300-147947.3</f>
        <v>378352.7</v>
      </c>
      <c r="J149" s="6">
        <v>330000</v>
      </c>
      <c r="K149" s="6">
        <v>0</v>
      </c>
      <c r="L149" s="6">
        <v>0</v>
      </c>
    </row>
    <row r="150" spans="1:12" ht="36" customHeight="1" outlineLevel="1">
      <c r="A150" s="79"/>
      <c r="B150" s="94"/>
      <c r="C150" s="44" t="s">
        <v>6</v>
      </c>
      <c r="D150" s="6"/>
      <c r="E150" s="6"/>
      <c r="F150" s="6"/>
      <c r="G150" s="7"/>
      <c r="H150" s="6"/>
      <c r="I150" s="6"/>
      <c r="J150" s="6"/>
      <c r="K150" s="6"/>
      <c r="L150" s="6"/>
    </row>
    <row r="151" spans="1:12" ht="36" customHeight="1" outlineLevel="1">
      <c r="A151" s="79"/>
      <c r="B151" s="94"/>
      <c r="C151" s="31" t="s">
        <v>16</v>
      </c>
      <c r="D151" s="6"/>
      <c r="E151" s="6"/>
      <c r="F151" s="6"/>
      <c r="G151" s="7"/>
      <c r="H151" s="6"/>
      <c r="I151" s="6"/>
      <c r="J151" s="6"/>
      <c r="K151" s="6"/>
      <c r="L151" s="6"/>
    </row>
    <row r="152" spans="1:12" ht="36" customHeight="1" outlineLevel="1">
      <c r="A152" s="72" t="s">
        <v>59</v>
      </c>
      <c r="B152" s="122"/>
      <c r="C152" s="45" t="s">
        <v>13</v>
      </c>
      <c r="D152" s="6">
        <f aca="true" t="shared" si="47" ref="D152:I152">D153+D154+D155+D156+D157</f>
        <v>100100</v>
      </c>
      <c r="E152" s="6">
        <f t="shared" si="47"/>
        <v>101830</v>
      </c>
      <c r="F152" s="6">
        <f t="shared" si="47"/>
        <v>106173</v>
      </c>
      <c r="G152" s="7">
        <f t="shared" si="47"/>
        <v>107956</v>
      </c>
      <c r="H152" s="6">
        <f t="shared" si="47"/>
        <v>97946</v>
      </c>
      <c r="I152" s="6">
        <f t="shared" si="47"/>
        <v>87934</v>
      </c>
      <c r="J152" s="6">
        <f>J153+J154+J155+J156+J157</f>
        <v>124500</v>
      </c>
      <c r="K152" s="6">
        <f>K153+K154+K155+K156+K157</f>
        <v>0</v>
      </c>
      <c r="L152" s="6">
        <f>L153+L154+L155+L156+L157</f>
        <v>0</v>
      </c>
    </row>
    <row r="153" spans="1:12" ht="36" customHeight="1" outlineLevel="1">
      <c r="A153" s="80"/>
      <c r="B153" s="122"/>
      <c r="C153" s="31" t="s">
        <v>14</v>
      </c>
      <c r="D153" s="6"/>
      <c r="E153" s="6"/>
      <c r="F153" s="6"/>
      <c r="G153" s="7"/>
      <c r="H153" s="6"/>
      <c r="I153" s="6"/>
      <c r="J153" s="6"/>
      <c r="K153" s="6"/>
      <c r="L153" s="6"/>
    </row>
    <row r="154" spans="1:12" ht="36" customHeight="1" outlineLevel="1">
      <c r="A154" s="80"/>
      <c r="B154" s="122"/>
      <c r="C154" s="45" t="s">
        <v>15</v>
      </c>
      <c r="D154" s="6"/>
      <c r="E154" s="6"/>
      <c r="F154" s="6"/>
      <c r="G154" s="7"/>
      <c r="H154" s="6"/>
      <c r="I154" s="6"/>
      <c r="J154" s="6"/>
      <c r="K154" s="6"/>
      <c r="L154" s="6"/>
    </row>
    <row r="155" spans="1:12" ht="36" customHeight="1" outlineLevel="1">
      <c r="A155" s="80"/>
      <c r="B155" s="122"/>
      <c r="C155" s="34" t="s">
        <v>5</v>
      </c>
      <c r="D155" s="7">
        <v>100100</v>
      </c>
      <c r="E155" s="7">
        <v>101830</v>
      </c>
      <c r="F155" s="7">
        <v>106173</v>
      </c>
      <c r="G155" s="7">
        <v>107956</v>
      </c>
      <c r="H155" s="6">
        <f>124500-26554</f>
        <v>97946</v>
      </c>
      <c r="I155" s="6">
        <f>124500-36566</f>
        <v>87934</v>
      </c>
      <c r="J155" s="6">
        <v>124500</v>
      </c>
      <c r="K155" s="6">
        <v>0</v>
      </c>
      <c r="L155" s="6">
        <v>0</v>
      </c>
    </row>
    <row r="156" spans="1:12" ht="36" customHeight="1" outlineLevel="1">
      <c r="A156" s="80"/>
      <c r="B156" s="122"/>
      <c r="C156" s="49" t="s">
        <v>6</v>
      </c>
      <c r="D156" s="7"/>
      <c r="E156" s="7"/>
      <c r="F156" s="7"/>
      <c r="G156" s="7"/>
      <c r="H156" s="6"/>
      <c r="I156" s="6"/>
      <c r="J156" s="6"/>
      <c r="K156" s="6"/>
      <c r="L156" s="6"/>
    </row>
    <row r="157" spans="1:12" ht="36" customHeight="1" outlineLevel="1">
      <c r="A157" s="80"/>
      <c r="B157" s="122"/>
      <c r="C157" s="31" t="s">
        <v>16</v>
      </c>
      <c r="D157" s="6"/>
      <c r="E157" s="6"/>
      <c r="F157" s="6"/>
      <c r="G157" s="7"/>
      <c r="H157" s="6"/>
      <c r="I157" s="6"/>
      <c r="J157" s="6"/>
      <c r="K157" s="6"/>
      <c r="L157" s="6"/>
    </row>
    <row r="158" spans="1:12" ht="36" customHeight="1" outlineLevel="1">
      <c r="A158" s="72" t="s">
        <v>55</v>
      </c>
      <c r="B158" s="107"/>
      <c r="C158" s="31" t="s">
        <v>13</v>
      </c>
      <c r="D158" s="6">
        <f>D159+D160+D161+D162+D163</f>
        <v>9792163.1</v>
      </c>
      <c r="E158" s="6">
        <f aca="true" t="shared" si="48" ref="E158:L158">E159+E160+E161+E162+E163</f>
        <v>7286085.22</v>
      </c>
      <c r="F158" s="6">
        <f t="shared" si="48"/>
        <v>18608635.15</v>
      </c>
      <c r="G158" s="6">
        <f t="shared" si="48"/>
        <v>12676913.12</v>
      </c>
      <c r="H158" s="6">
        <f t="shared" si="48"/>
        <v>15036802.26</v>
      </c>
      <c r="I158" s="6">
        <f t="shared" si="48"/>
        <v>14168298.469999997</v>
      </c>
      <c r="J158" s="6">
        <f t="shared" si="48"/>
        <v>10515718.620000001</v>
      </c>
      <c r="K158" s="6">
        <f t="shared" si="48"/>
        <v>2176111.12</v>
      </c>
      <c r="L158" s="6">
        <f t="shared" si="48"/>
        <v>2176111.12</v>
      </c>
    </row>
    <row r="159" spans="1:12" ht="36" customHeight="1" outlineLevel="1">
      <c r="A159" s="80"/>
      <c r="B159" s="108"/>
      <c r="C159" s="31" t="s">
        <v>14</v>
      </c>
      <c r="D159" s="6">
        <f>D165+D171</f>
        <v>2500000</v>
      </c>
      <c r="E159" s="6">
        <f aca="true" t="shared" si="49" ref="E159:L159">E165+E171</f>
        <v>0</v>
      </c>
      <c r="F159" s="6">
        <f t="shared" si="49"/>
        <v>0</v>
      </c>
      <c r="G159" s="6">
        <f t="shared" si="49"/>
        <v>0</v>
      </c>
      <c r="H159" s="6">
        <f t="shared" si="49"/>
        <v>0</v>
      </c>
      <c r="I159" s="6">
        <f t="shared" si="49"/>
        <v>0</v>
      </c>
      <c r="J159" s="6">
        <f t="shared" si="49"/>
        <v>0</v>
      </c>
      <c r="K159" s="6">
        <f t="shared" si="49"/>
        <v>0</v>
      </c>
      <c r="L159" s="6">
        <f t="shared" si="49"/>
        <v>0</v>
      </c>
    </row>
    <row r="160" spans="1:12" ht="36" customHeight="1" outlineLevel="1">
      <c r="A160" s="80"/>
      <c r="B160" s="108"/>
      <c r="C160" s="31" t="s">
        <v>15</v>
      </c>
      <c r="D160" s="6">
        <f>D166+D172</f>
        <v>0</v>
      </c>
      <c r="E160" s="6">
        <f aca="true" t="shared" si="50" ref="E160:L160">E166+E172</f>
        <v>0</v>
      </c>
      <c r="F160" s="6">
        <f t="shared" si="50"/>
        <v>406400</v>
      </c>
      <c r="G160" s="6">
        <f t="shared" si="50"/>
        <v>1089600</v>
      </c>
      <c r="H160" s="6">
        <f t="shared" si="50"/>
        <v>5470942.4</v>
      </c>
      <c r="I160" s="6">
        <f t="shared" si="50"/>
        <v>4852600</v>
      </c>
      <c r="J160" s="6">
        <f t="shared" si="50"/>
        <v>3260400</v>
      </c>
      <c r="K160" s="6">
        <f t="shared" si="50"/>
        <v>1958500</v>
      </c>
      <c r="L160" s="6">
        <f t="shared" si="50"/>
        <v>1958500</v>
      </c>
    </row>
    <row r="161" spans="1:12" ht="36" customHeight="1" outlineLevel="1">
      <c r="A161" s="80"/>
      <c r="B161" s="108"/>
      <c r="C161" s="32" t="s">
        <v>5</v>
      </c>
      <c r="D161" s="7">
        <f>D167+D173</f>
        <v>7292163.1</v>
      </c>
      <c r="E161" s="7">
        <f aca="true" t="shared" si="51" ref="E161:L161">E167+E173</f>
        <v>7286085.22</v>
      </c>
      <c r="F161" s="7">
        <f t="shared" si="51"/>
        <v>18202235.15</v>
      </c>
      <c r="G161" s="7">
        <f t="shared" si="51"/>
        <v>11587313.12</v>
      </c>
      <c r="H161" s="7">
        <f t="shared" si="51"/>
        <v>9565859.86</v>
      </c>
      <c r="I161" s="7">
        <f t="shared" si="51"/>
        <v>9315698.469999997</v>
      </c>
      <c r="J161" s="7">
        <f t="shared" si="51"/>
        <v>7255318.62</v>
      </c>
      <c r="K161" s="7">
        <f t="shared" si="51"/>
        <v>217611.12</v>
      </c>
      <c r="L161" s="7">
        <f t="shared" si="51"/>
        <v>217611.12</v>
      </c>
    </row>
    <row r="162" spans="1:12" ht="36" customHeight="1" outlineLevel="1">
      <c r="A162" s="80"/>
      <c r="B162" s="108"/>
      <c r="C162" s="44" t="s">
        <v>6</v>
      </c>
      <c r="D162" s="7"/>
      <c r="E162" s="7"/>
      <c r="F162" s="7"/>
      <c r="G162" s="7"/>
      <c r="H162" s="6"/>
      <c r="I162" s="6"/>
      <c r="J162" s="6"/>
      <c r="K162" s="6"/>
      <c r="L162" s="6"/>
    </row>
    <row r="163" spans="1:12" ht="36" customHeight="1" outlineLevel="1">
      <c r="A163" s="81"/>
      <c r="B163" s="109"/>
      <c r="C163" s="31" t="s">
        <v>16</v>
      </c>
      <c r="D163" s="6"/>
      <c r="E163" s="6"/>
      <c r="F163" s="6"/>
      <c r="G163" s="7"/>
      <c r="H163" s="6"/>
      <c r="I163" s="6"/>
      <c r="J163" s="6"/>
      <c r="K163" s="6"/>
      <c r="L163" s="6"/>
    </row>
    <row r="164" spans="1:12" ht="28.5" customHeight="1" outlineLevel="1">
      <c r="A164" s="72" t="s">
        <v>56</v>
      </c>
      <c r="B164" s="107"/>
      <c r="C164" s="31" t="s">
        <v>13</v>
      </c>
      <c r="D164" s="6">
        <f>D165+D166+D167+D168+D169</f>
        <v>9792163.1</v>
      </c>
      <c r="E164" s="6">
        <f>E165+E166+E167+E168+E169</f>
        <v>7286085.22</v>
      </c>
      <c r="F164" s="6">
        <f>F165+F166+F167+F168+F169</f>
        <v>18608635.15</v>
      </c>
      <c r="G164" s="7">
        <f>G165+G166+G167+G168+G169</f>
        <v>12676913.12</v>
      </c>
      <c r="H164" s="6">
        <f>H166+H167</f>
        <v>14368802.26</v>
      </c>
      <c r="I164" s="6">
        <f>I165+I166+I167+I168+I169</f>
        <v>13501631.799999997</v>
      </c>
      <c r="J164" s="6">
        <v>9147940.83</v>
      </c>
      <c r="K164" s="6">
        <f>K165+K166+K167+K168+K169</f>
        <v>2176111.12</v>
      </c>
      <c r="L164" s="6">
        <f>L165+L166+L167+L168+L169</f>
        <v>2176111.12</v>
      </c>
    </row>
    <row r="165" spans="1:12" ht="28.5" customHeight="1" outlineLevel="1">
      <c r="A165" s="80"/>
      <c r="B165" s="108"/>
      <c r="C165" s="31" t="s">
        <v>14</v>
      </c>
      <c r="D165" s="6">
        <v>2500000</v>
      </c>
      <c r="E165" s="6"/>
      <c r="F165" s="6"/>
      <c r="G165" s="7"/>
      <c r="H165" s="6"/>
      <c r="I165" s="6"/>
      <c r="J165" s="6"/>
      <c r="K165" s="6"/>
      <c r="L165" s="6"/>
    </row>
    <row r="166" spans="1:12" ht="48" customHeight="1" outlineLevel="1">
      <c r="A166" s="80"/>
      <c r="B166" s="108"/>
      <c r="C166" s="31" t="s">
        <v>15</v>
      </c>
      <c r="D166" s="6"/>
      <c r="E166" s="6"/>
      <c r="F166" s="6">
        <v>406400</v>
      </c>
      <c r="G166" s="7">
        <v>1089600</v>
      </c>
      <c r="H166" s="6">
        <f>4870942.4</f>
        <v>4870942.4</v>
      </c>
      <c r="I166" s="6">
        <v>4252600</v>
      </c>
      <c r="J166" s="6">
        <f>623000+1406400</f>
        <v>2029400</v>
      </c>
      <c r="K166" s="6">
        <f>623000+1335500</f>
        <v>1958500</v>
      </c>
      <c r="L166" s="6">
        <f>623000+1335500</f>
        <v>1958500</v>
      </c>
    </row>
    <row r="167" spans="1:12" ht="39.75" customHeight="1" outlineLevel="1">
      <c r="A167" s="80"/>
      <c r="B167" s="108"/>
      <c r="C167" s="32" t="s">
        <v>5</v>
      </c>
      <c r="D167" s="7">
        <v>7292163.1</v>
      </c>
      <c r="E167" s="35">
        <v>7286085.22</v>
      </c>
      <c r="F167" s="35">
        <v>18202235.15</v>
      </c>
      <c r="G167" s="7">
        <v>11587313.12</v>
      </c>
      <c r="H167" s="6">
        <v>9497859.86</v>
      </c>
      <c r="I167" s="6">
        <f>17334075+250333.33+150000+231124-252171+285352.04-8749681.57</f>
        <v>9249031.799999997</v>
      </c>
      <c r="J167" s="6">
        <v>7118540.83</v>
      </c>
      <c r="K167" s="6">
        <f>69222.23+148388.89</f>
        <v>217611.12</v>
      </c>
      <c r="L167" s="6">
        <f>69222.23+148388.89</f>
        <v>217611.12</v>
      </c>
    </row>
    <row r="168" spans="1:12" ht="48" customHeight="1" outlineLevel="1">
      <c r="A168" s="80"/>
      <c r="B168" s="108"/>
      <c r="C168" s="44" t="s">
        <v>6</v>
      </c>
      <c r="D168" s="7"/>
      <c r="E168" s="7"/>
      <c r="F168" s="7"/>
      <c r="G168" s="7"/>
      <c r="H168" s="6" t="s">
        <v>66</v>
      </c>
      <c r="I168" s="6"/>
      <c r="J168" s="6"/>
      <c r="K168" s="6"/>
      <c r="L168" s="6"/>
    </row>
    <row r="169" spans="1:12" ht="28.5" customHeight="1" outlineLevel="1">
      <c r="A169" s="81"/>
      <c r="B169" s="109"/>
      <c r="C169" s="31" t="s">
        <v>16</v>
      </c>
      <c r="D169" s="6"/>
      <c r="E169" s="6"/>
      <c r="F169" s="6"/>
      <c r="G169" s="7"/>
      <c r="H169" s="6"/>
      <c r="I169" s="6"/>
      <c r="J169" s="6"/>
      <c r="K169" s="6"/>
      <c r="L169" s="6"/>
    </row>
    <row r="170" spans="1:12" ht="45" customHeight="1" outlineLevel="1">
      <c r="A170" s="72" t="s">
        <v>60</v>
      </c>
      <c r="B170" s="115"/>
      <c r="C170" s="31" t="s">
        <v>13</v>
      </c>
      <c r="D170" s="6">
        <f aca="true" t="shared" si="52" ref="D170:I170">D171+D172+D173+D174+D175</f>
        <v>0</v>
      </c>
      <c r="E170" s="6">
        <f t="shared" si="52"/>
        <v>0</v>
      </c>
      <c r="F170" s="6">
        <f t="shared" si="52"/>
        <v>0</v>
      </c>
      <c r="G170" s="7">
        <f t="shared" si="52"/>
        <v>0</v>
      </c>
      <c r="H170" s="6">
        <f t="shared" si="52"/>
        <v>668000</v>
      </c>
      <c r="I170" s="6">
        <f t="shared" si="52"/>
        <v>666666.6699999999</v>
      </c>
      <c r="J170" s="6">
        <f>J171+J172+J173+J174+J175</f>
        <v>1367777.79</v>
      </c>
      <c r="K170" s="6">
        <f>K171+K172+K173+K174+K175</f>
        <v>0</v>
      </c>
      <c r="L170" s="6">
        <f>L171+L172+L173+L174+L175</f>
        <v>0</v>
      </c>
    </row>
    <row r="171" spans="1:12" ht="45" customHeight="1" outlineLevel="1">
      <c r="A171" s="80"/>
      <c r="B171" s="116"/>
      <c r="C171" s="31" t="s">
        <v>14</v>
      </c>
      <c r="D171" s="6"/>
      <c r="E171" s="6"/>
      <c r="F171" s="6"/>
      <c r="G171" s="7"/>
      <c r="H171" s="6"/>
      <c r="I171" s="6"/>
      <c r="J171" s="6"/>
      <c r="K171" s="6"/>
      <c r="L171" s="6"/>
    </row>
    <row r="172" spans="1:12" ht="45" customHeight="1" outlineLevel="1">
      <c r="A172" s="80"/>
      <c r="B172" s="116"/>
      <c r="C172" s="31" t="s">
        <v>15</v>
      </c>
      <c r="D172" s="6">
        <v>0</v>
      </c>
      <c r="E172" s="6">
        <v>0</v>
      </c>
      <c r="F172" s="6">
        <v>0</v>
      </c>
      <c r="G172" s="7">
        <v>0</v>
      </c>
      <c r="H172" s="6">
        <v>600000</v>
      </c>
      <c r="I172" s="6">
        <v>600000</v>
      </c>
      <c r="J172" s="6">
        <f>1231000</f>
        <v>1231000</v>
      </c>
      <c r="K172" s="6">
        <v>0</v>
      </c>
      <c r="L172" s="6">
        <v>0</v>
      </c>
    </row>
    <row r="173" spans="1:12" ht="45" customHeight="1" outlineLevel="1">
      <c r="A173" s="80"/>
      <c r="B173" s="116"/>
      <c r="C173" s="32" t="s">
        <v>5</v>
      </c>
      <c r="D173" s="7"/>
      <c r="E173" s="7">
        <v>0</v>
      </c>
      <c r="F173" s="7">
        <v>0</v>
      </c>
      <c r="G173" s="7">
        <v>0</v>
      </c>
      <c r="H173" s="6">
        <v>68000</v>
      </c>
      <c r="I173" s="6">
        <f>340000-273333.33</f>
        <v>66666.66999999998</v>
      </c>
      <c r="J173" s="6">
        <f>136000-1333.33-6888.88+9000</f>
        <v>136777.79</v>
      </c>
      <c r="K173" s="6">
        <v>0</v>
      </c>
      <c r="L173" s="6">
        <v>0</v>
      </c>
    </row>
    <row r="174" spans="1:12" ht="45" customHeight="1" outlineLevel="1">
      <c r="A174" s="80"/>
      <c r="B174" s="116"/>
      <c r="C174" s="44" t="s">
        <v>6</v>
      </c>
      <c r="D174" s="7"/>
      <c r="E174" s="7"/>
      <c r="F174" s="7"/>
      <c r="G174" s="7"/>
      <c r="H174" s="6"/>
      <c r="I174" s="6"/>
      <c r="J174" s="6"/>
      <c r="K174" s="6"/>
      <c r="L174" s="6"/>
    </row>
    <row r="175" spans="1:12" ht="45" customHeight="1" outlineLevel="1">
      <c r="A175" s="81"/>
      <c r="B175" s="117"/>
      <c r="C175" s="31" t="s">
        <v>16</v>
      </c>
      <c r="D175" s="6"/>
      <c r="E175" s="6"/>
      <c r="F175" s="6"/>
      <c r="G175" s="7"/>
      <c r="H175" s="6"/>
      <c r="I175" s="6"/>
      <c r="J175" s="6"/>
      <c r="K175" s="6"/>
      <c r="L175" s="6"/>
    </row>
    <row r="176" spans="1:12" ht="42.75" customHeight="1" outlineLevel="1">
      <c r="A176" s="72" t="s">
        <v>45</v>
      </c>
      <c r="B176" s="107"/>
      <c r="C176" s="45" t="s">
        <v>13</v>
      </c>
      <c r="D176" s="6">
        <f aca="true" t="shared" si="53" ref="D176:I176">D177+D178+D179+D180+D181</f>
        <v>680253.33</v>
      </c>
      <c r="E176" s="6">
        <f t="shared" si="53"/>
        <v>0</v>
      </c>
      <c r="F176" s="6">
        <f t="shared" si="53"/>
        <v>0</v>
      </c>
      <c r="G176" s="7">
        <f t="shared" si="53"/>
        <v>0</v>
      </c>
      <c r="H176" s="6">
        <f t="shared" si="53"/>
        <v>0</v>
      </c>
      <c r="I176" s="6">
        <f t="shared" si="53"/>
        <v>0</v>
      </c>
      <c r="J176" s="6">
        <f>J177+J178+J179+J180+J181</f>
        <v>0</v>
      </c>
      <c r="K176" s="6">
        <f>K177+K178+K179+K180+K181</f>
        <v>0</v>
      </c>
      <c r="L176" s="6">
        <f>L177+L178+L179+L180+L181</f>
        <v>0</v>
      </c>
    </row>
    <row r="177" spans="1:12" ht="42.75" customHeight="1" outlineLevel="1">
      <c r="A177" s="80"/>
      <c r="B177" s="108"/>
      <c r="C177" s="31" t="s">
        <v>14</v>
      </c>
      <c r="D177" s="6"/>
      <c r="E177" s="6"/>
      <c r="F177" s="6"/>
      <c r="G177" s="7"/>
      <c r="H177" s="6"/>
      <c r="I177" s="6"/>
      <c r="J177" s="6"/>
      <c r="K177" s="6"/>
      <c r="L177" s="6"/>
    </row>
    <row r="178" spans="1:12" ht="42.75" customHeight="1" outlineLevel="1">
      <c r="A178" s="80"/>
      <c r="B178" s="108"/>
      <c r="C178" s="45" t="s">
        <v>15</v>
      </c>
      <c r="D178" s="6">
        <v>680253.33</v>
      </c>
      <c r="E178" s="6">
        <f>118325000-118325000</f>
        <v>0</v>
      </c>
      <c r="F178" s="6">
        <f>118325000-118325000</f>
        <v>0</v>
      </c>
      <c r="G178" s="7">
        <v>0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</row>
    <row r="179" spans="1:12" ht="42.75" customHeight="1" outlineLevel="1">
      <c r="A179" s="80"/>
      <c r="B179" s="108"/>
      <c r="C179" s="34" t="s">
        <v>5</v>
      </c>
      <c r="D179" s="6"/>
      <c r="E179" s="6">
        <f>6227700-1910667-1920234-2396799</f>
        <v>0</v>
      </c>
      <c r="F179" s="6">
        <f>6227700-1910667-1920234-2396799</f>
        <v>0</v>
      </c>
      <c r="G179" s="7">
        <v>0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</row>
    <row r="180" spans="1:12" ht="42.75" customHeight="1" outlineLevel="1">
      <c r="A180" s="80"/>
      <c r="B180" s="108"/>
      <c r="C180" s="49" t="s">
        <v>6</v>
      </c>
      <c r="D180" s="6"/>
      <c r="E180" s="6">
        <v>0</v>
      </c>
      <c r="F180" s="6">
        <v>0</v>
      </c>
      <c r="G180" s="7">
        <v>0</v>
      </c>
      <c r="H180" s="6">
        <v>0</v>
      </c>
      <c r="I180" s="6">
        <v>0</v>
      </c>
      <c r="J180" s="6">
        <v>0</v>
      </c>
      <c r="K180" s="6">
        <v>0</v>
      </c>
      <c r="L180" s="6">
        <v>0</v>
      </c>
    </row>
    <row r="181" spans="1:12" ht="42.75" customHeight="1" outlineLevel="1">
      <c r="A181" s="81"/>
      <c r="B181" s="109"/>
      <c r="C181" s="31" t="s">
        <v>16</v>
      </c>
      <c r="D181" s="6"/>
      <c r="E181" s="6">
        <v>0</v>
      </c>
      <c r="F181" s="6">
        <v>0</v>
      </c>
      <c r="G181" s="7"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</row>
    <row r="182" spans="1:12" ht="42" customHeight="1" outlineLevel="1">
      <c r="A182" s="72" t="s">
        <v>44</v>
      </c>
      <c r="B182" s="107"/>
      <c r="C182" s="45" t="s">
        <v>13</v>
      </c>
      <c r="D182" s="6">
        <f aca="true" t="shared" si="54" ref="D182:I182">D183+D184+D185+D186+D187</f>
        <v>2852000</v>
      </c>
      <c r="E182" s="6">
        <f t="shared" si="54"/>
        <v>2762219.08</v>
      </c>
      <c r="F182" s="6">
        <f t="shared" si="54"/>
        <v>2343314.2</v>
      </c>
      <c r="G182" s="7">
        <f t="shared" si="54"/>
        <v>1907155</v>
      </c>
      <c r="H182" s="6">
        <f t="shared" si="54"/>
        <v>2592600</v>
      </c>
      <c r="I182" s="6">
        <f t="shared" si="54"/>
        <v>1600000</v>
      </c>
      <c r="J182" s="6">
        <f>J183+J184+J185+J186+J187</f>
        <v>2678100</v>
      </c>
      <c r="K182" s="6">
        <f>K183+K184+K185+K186+K187</f>
        <v>2976600</v>
      </c>
      <c r="L182" s="6">
        <f>L183+L184+L185+L186+L187</f>
        <v>2976600</v>
      </c>
    </row>
    <row r="183" spans="1:12" ht="41.25" customHeight="1" outlineLevel="1">
      <c r="A183" s="80"/>
      <c r="B183" s="108"/>
      <c r="C183" s="31" t="s">
        <v>14</v>
      </c>
      <c r="D183" s="6"/>
      <c r="E183" s="6"/>
      <c r="F183" s="6"/>
      <c r="G183" s="7"/>
      <c r="H183" s="6"/>
      <c r="I183" s="6"/>
      <c r="J183" s="6"/>
      <c r="K183" s="6"/>
      <c r="L183" s="6"/>
    </row>
    <row r="184" spans="1:12" ht="39" customHeight="1" outlineLevel="1">
      <c r="A184" s="80"/>
      <c r="B184" s="108"/>
      <c r="C184" s="45" t="s">
        <v>15</v>
      </c>
      <c r="D184" s="6">
        <v>2852000</v>
      </c>
      <c r="E184" s="6">
        <v>2762219.08</v>
      </c>
      <c r="F184" s="6">
        <v>2343314.2</v>
      </c>
      <c r="G184" s="7">
        <v>1907155</v>
      </c>
      <c r="H184" s="6">
        <f>2676400-471500+387700</f>
        <v>2592600</v>
      </c>
      <c r="I184" s="6">
        <v>1600000</v>
      </c>
      <c r="J184" s="6">
        <v>2678100</v>
      </c>
      <c r="K184" s="6">
        <v>2976600</v>
      </c>
      <c r="L184" s="6">
        <v>2976600</v>
      </c>
    </row>
    <row r="185" spans="1:12" ht="47.25" customHeight="1" outlineLevel="1">
      <c r="A185" s="80"/>
      <c r="B185" s="108"/>
      <c r="C185" s="34" t="s">
        <v>5</v>
      </c>
      <c r="D185" s="6"/>
      <c r="E185" s="6"/>
      <c r="F185" s="6"/>
      <c r="G185" s="7"/>
      <c r="H185" s="6"/>
      <c r="I185" s="6"/>
      <c r="J185" s="6"/>
      <c r="K185" s="6"/>
      <c r="L185" s="6"/>
    </row>
    <row r="186" spans="1:12" ht="42" customHeight="1" outlineLevel="1">
      <c r="A186" s="80"/>
      <c r="B186" s="108"/>
      <c r="C186" s="49" t="s">
        <v>6</v>
      </c>
      <c r="D186" s="6"/>
      <c r="E186" s="6"/>
      <c r="F186" s="6"/>
      <c r="G186" s="7"/>
      <c r="H186" s="6"/>
      <c r="I186" s="6"/>
      <c r="J186" s="6"/>
      <c r="K186" s="6"/>
      <c r="L186" s="6"/>
    </row>
    <row r="187" spans="1:12" ht="42.75" customHeight="1" outlineLevel="1">
      <c r="A187" s="81"/>
      <c r="B187" s="109"/>
      <c r="C187" s="31" t="s">
        <v>16</v>
      </c>
      <c r="D187" s="6"/>
      <c r="E187" s="6"/>
      <c r="F187" s="6"/>
      <c r="G187" s="7"/>
      <c r="H187" s="6"/>
      <c r="I187" s="6"/>
      <c r="J187" s="6"/>
      <c r="K187" s="6"/>
      <c r="L187" s="6"/>
    </row>
    <row r="188" spans="1:12" ht="39.75" customHeight="1" outlineLevel="1">
      <c r="A188" s="72" t="s">
        <v>53</v>
      </c>
      <c r="B188" s="52"/>
      <c r="C188" s="45" t="s">
        <v>13</v>
      </c>
      <c r="D188" s="6">
        <f aca="true" t="shared" si="55" ref="D188:I188">D189+D190+D191+D192+D193</f>
        <v>8167675.49</v>
      </c>
      <c r="E188" s="6">
        <f t="shared" si="55"/>
        <v>7533922.62</v>
      </c>
      <c r="F188" s="6">
        <f t="shared" si="55"/>
        <v>5258221.77</v>
      </c>
      <c r="G188" s="7">
        <f t="shared" si="55"/>
        <v>5000040</v>
      </c>
      <c r="H188" s="6">
        <f t="shared" si="55"/>
        <v>5038800</v>
      </c>
      <c r="I188" s="6">
        <f t="shared" si="55"/>
        <v>4956047.76</v>
      </c>
      <c r="J188" s="6">
        <f>J189+J190+J191+J192+J193</f>
        <v>5184080</v>
      </c>
      <c r="K188" s="6">
        <f>K189+K190+K191+K192+K193</f>
        <v>5403840</v>
      </c>
      <c r="L188" s="6">
        <f>L189+L190+L191+L192+L193</f>
        <v>5403840</v>
      </c>
    </row>
    <row r="189" spans="1:12" ht="27" customHeight="1" outlineLevel="1">
      <c r="A189" s="80"/>
      <c r="B189" s="53"/>
      <c r="C189" s="31" t="s">
        <v>14</v>
      </c>
      <c r="D189" s="6"/>
      <c r="E189" s="6"/>
      <c r="F189" s="6"/>
      <c r="G189" s="7"/>
      <c r="H189" s="6"/>
      <c r="I189" s="6"/>
      <c r="J189" s="6"/>
      <c r="K189" s="6"/>
      <c r="L189" s="6"/>
    </row>
    <row r="190" spans="1:12" ht="39.75" customHeight="1" outlineLevel="1">
      <c r="A190" s="80"/>
      <c r="B190" s="53"/>
      <c r="C190" s="45" t="s">
        <v>15</v>
      </c>
      <c r="D190" s="6">
        <v>8167675.49</v>
      </c>
      <c r="E190" s="6">
        <v>7533922.62</v>
      </c>
      <c r="F190" s="6">
        <v>5258221.77</v>
      </c>
      <c r="G190" s="6">
        <v>5000040</v>
      </c>
      <c r="H190" s="6">
        <v>5038800</v>
      </c>
      <c r="I190" s="6">
        <f>5030300-74252.24</f>
        <v>4956047.76</v>
      </c>
      <c r="J190" s="6">
        <v>5184080</v>
      </c>
      <c r="K190" s="6">
        <v>5403840</v>
      </c>
      <c r="L190" s="6">
        <v>5403840</v>
      </c>
    </row>
    <row r="191" spans="1:12" ht="39.75" customHeight="1" outlineLevel="1">
      <c r="A191" s="80"/>
      <c r="B191" s="53"/>
      <c r="C191" s="34" t="s">
        <v>5</v>
      </c>
      <c r="D191" s="6"/>
      <c r="E191" s="6"/>
      <c r="F191" s="6"/>
      <c r="G191" s="7"/>
      <c r="H191" s="6"/>
      <c r="I191" s="6"/>
      <c r="J191" s="6"/>
      <c r="K191" s="6"/>
      <c r="L191" s="6"/>
    </row>
    <row r="192" spans="1:12" ht="39.75" customHeight="1" outlineLevel="1">
      <c r="A192" s="80"/>
      <c r="B192" s="53"/>
      <c r="C192" s="49" t="s">
        <v>6</v>
      </c>
      <c r="D192" s="6"/>
      <c r="E192" s="6"/>
      <c r="F192" s="6"/>
      <c r="G192" s="7"/>
      <c r="H192" s="6"/>
      <c r="I192" s="6"/>
      <c r="J192" s="6"/>
      <c r="K192" s="6"/>
      <c r="L192" s="6"/>
    </row>
    <row r="193" spans="1:12" ht="24" customHeight="1" outlineLevel="1">
      <c r="A193" s="81"/>
      <c r="B193" s="54"/>
      <c r="C193" s="31" t="s">
        <v>16</v>
      </c>
      <c r="D193" s="6"/>
      <c r="E193" s="6"/>
      <c r="F193" s="6"/>
      <c r="G193" s="7"/>
      <c r="H193" s="6"/>
      <c r="I193" s="6"/>
      <c r="J193" s="6"/>
      <c r="K193" s="6"/>
      <c r="L193" s="6"/>
    </row>
    <row r="194" spans="1:12" ht="39.75" customHeight="1" outlineLevel="1">
      <c r="A194" s="72" t="s">
        <v>43</v>
      </c>
      <c r="B194" s="115"/>
      <c r="C194" s="31" t="s">
        <v>13</v>
      </c>
      <c r="D194" s="6">
        <f aca="true" t="shared" si="56" ref="D194:I194">D195+D196+D197+D198+D199</f>
        <v>4777000</v>
      </c>
      <c r="E194" s="6">
        <f t="shared" si="56"/>
        <v>5044000</v>
      </c>
      <c r="F194" s="6">
        <f t="shared" si="56"/>
        <v>5093435</v>
      </c>
      <c r="G194" s="7">
        <f t="shared" si="56"/>
        <v>5912122</v>
      </c>
      <c r="H194" s="6">
        <f t="shared" si="56"/>
        <v>5563300</v>
      </c>
      <c r="I194" s="6">
        <f t="shared" si="56"/>
        <v>3352417.64</v>
      </c>
      <c r="J194" s="6">
        <f>J195+J196+J197+J198+J199</f>
        <v>5744949.5</v>
      </c>
      <c r="K194" s="6">
        <f>K195+K196+K197+K198+K199</f>
        <v>5997575.76</v>
      </c>
      <c r="L194" s="6">
        <f>L195+L196+L197+L198+L199</f>
        <v>5818787.88</v>
      </c>
    </row>
    <row r="195" spans="1:12" ht="27" customHeight="1" outlineLevel="1">
      <c r="A195" s="80"/>
      <c r="B195" s="116"/>
      <c r="C195" s="31" t="s">
        <v>14</v>
      </c>
      <c r="D195" s="6">
        <f>D201+D207</f>
        <v>0</v>
      </c>
      <c r="E195" s="6">
        <f aca="true" t="shared" si="57" ref="E195:K195">E201+E207</f>
        <v>0</v>
      </c>
      <c r="F195" s="6">
        <f t="shared" si="57"/>
        <v>0</v>
      </c>
      <c r="G195" s="6">
        <f t="shared" si="57"/>
        <v>0</v>
      </c>
      <c r="H195" s="6">
        <f t="shared" si="57"/>
        <v>0</v>
      </c>
      <c r="I195" s="6">
        <f t="shared" si="57"/>
        <v>1631770</v>
      </c>
      <c r="J195" s="6">
        <f t="shared" si="57"/>
        <v>3981249.79</v>
      </c>
      <c r="K195" s="6">
        <f t="shared" si="57"/>
        <v>4275071.42</v>
      </c>
      <c r="L195" s="6">
        <f>L201+L207</f>
        <v>4147631.75</v>
      </c>
    </row>
    <row r="196" spans="1:12" ht="39.75" customHeight="1" outlineLevel="1">
      <c r="A196" s="80"/>
      <c r="B196" s="116"/>
      <c r="C196" s="31" t="s">
        <v>15</v>
      </c>
      <c r="D196" s="6">
        <f aca="true" t="shared" si="58" ref="D196:K199">D202+D208</f>
        <v>4777000</v>
      </c>
      <c r="E196" s="6">
        <f t="shared" si="58"/>
        <v>5044000</v>
      </c>
      <c r="F196" s="6">
        <f t="shared" si="58"/>
        <v>5042500</v>
      </c>
      <c r="G196" s="6">
        <f t="shared" si="58"/>
        <v>5853000</v>
      </c>
      <c r="H196" s="6">
        <f t="shared" si="58"/>
        <v>5507600</v>
      </c>
      <c r="I196" s="6">
        <f t="shared" si="58"/>
        <v>1687123.46</v>
      </c>
      <c r="J196" s="6">
        <f t="shared" si="58"/>
        <v>1706250.21</v>
      </c>
      <c r="K196" s="6">
        <f t="shared" si="58"/>
        <v>1662528.58</v>
      </c>
      <c r="L196" s="6">
        <f>L202+L208</f>
        <v>1612968.25</v>
      </c>
    </row>
    <row r="197" spans="1:12" ht="39.75" customHeight="1" outlineLevel="1">
      <c r="A197" s="80"/>
      <c r="B197" s="116"/>
      <c r="C197" s="32" t="s">
        <v>5</v>
      </c>
      <c r="D197" s="6">
        <f t="shared" si="58"/>
        <v>0</v>
      </c>
      <c r="E197" s="6">
        <f t="shared" si="58"/>
        <v>0</v>
      </c>
      <c r="F197" s="6">
        <f t="shared" si="58"/>
        <v>50935</v>
      </c>
      <c r="G197" s="6">
        <f t="shared" si="58"/>
        <v>59122</v>
      </c>
      <c r="H197" s="6">
        <f t="shared" si="58"/>
        <v>55700</v>
      </c>
      <c r="I197" s="6">
        <f t="shared" si="58"/>
        <v>33524.18000000002</v>
      </c>
      <c r="J197" s="6">
        <f t="shared" si="58"/>
        <v>57449.5</v>
      </c>
      <c r="K197" s="6">
        <f t="shared" si="58"/>
        <v>59975.759999999995</v>
      </c>
      <c r="L197" s="6">
        <f>L203+L209</f>
        <v>58187.880000000005</v>
      </c>
    </row>
    <row r="198" spans="1:12" ht="39.75" customHeight="1" outlineLevel="1">
      <c r="A198" s="80"/>
      <c r="B198" s="116"/>
      <c r="C198" s="44" t="s">
        <v>6</v>
      </c>
      <c r="D198" s="6">
        <f t="shared" si="58"/>
        <v>0</v>
      </c>
      <c r="E198" s="6">
        <f t="shared" si="58"/>
        <v>0</v>
      </c>
      <c r="F198" s="6">
        <f t="shared" si="58"/>
        <v>0</v>
      </c>
      <c r="G198" s="6">
        <f t="shared" si="58"/>
        <v>0</v>
      </c>
      <c r="H198" s="6">
        <f t="shared" si="58"/>
        <v>0</v>
      </c>
      <c r="I198" s="6">
        <f t="shared" si="58"/>
        <v>0</v>
      </c>
      <c r="J198" s="6">
        <f t="shared" si="58"/>
        <v>0</v>
      </c>
      <c r="K198" s="6">
        <f t="shared" si="58"/>
        <v>0</v>
      </c>
      <c r="L198" s="6">
        <f>L204+L210</f>
        <v>0</v>
      </c>
    </row>
    <row r="199" spans="1:12" ht="24" customHeight="1" outlineLevel="1">
      <c r="A199" s="81"/>
      <c r="B199" s="117"/>
      <c r="C199" s="31" t="s">
        <v>16</v>
      </c>
      <c r="D199" s="6">
        <f t="shared" si="58"/>
        <v>0</v>
      </c>
      <c r="E199" s="6">
        <f t="shared" si="58"/>
        <v>0</v>
      </c>
      <c r="F199" s="6">
        <f t="shared" si="58"/>
        <v>0</v>
      </c>
      <c r="G199" s="6">
        <f t="shared" si="58"/>
        <v>0</v>
      </c>
      <c r="H199" s="6">
        <f t="shared" si="58"/>
        <v>0</v>
      </c>
      <c r="I199" s="6">
        <f t="shared" si="58"/>
        <v>0</v>
      </c>
      <c r="J199" s="6">
        <f t="shared" si="58"/>
        <v>0</v>
      </c>
      <c r="K199" s="6">
        <f t="shared" si="58"/>
        <v>0</v>
      </c>
      <c r="L199" s="6">
        <f>L205+L211</f>
        <v>0</v>
      </c>
    </row>
    <row r="200" spans="1:12" ht="39.75" customHeight="1" outlineLevel="1">
      <c r="A200" s="72" t="s">
        <v>74</v>
      </c>
      <c r="B200" s="115"/>
      <c r="C200" s="31" t="s">
        <v>13</v>
      </c>
      <c r="D200" s="6">
        <f aca="true" t="shared" si="59" ref="D200:I200">D201+D202+D203+D204+D205</f>
        <v>4777000</v>
      </c>
      <c r="E200" s="6">
        <f t="shared" si="59"/>
        <v>5044000</v>
      </c>
      <c r="F200" s="6">
        <f t="shared" si="59"/>
        <v>5093435</v>
      </c>
      <c r="G200" s="7">
        <f t="shared" si="59"/>
        <v>5912122</v>
      </c>
      <c r="H200" s="6">
        <f t="shared" si="59"/>
        <v>5563300</v>
      </c>
      <c r="I200" s="6">
        <f t="shared" si="59"/>
        <v>997771.17</v>
      </c>
      <c r="J200" s="6">
        <f>J201+J202+J203+J204+J205</f>
        <v>0</v>
      </c>
      <c r="K200" s="6">
        <f>K201+K202+K203+K204+K205</f>
        <v>0</v>
      </c>
      <c r="L200" s="6">
        <f>L201+L202+L203+L204+L205</f>
        <v>0</v>
      </c>
    </row>
    <row r="201" spans="1:12" ht="27" customHeight="1" outlineLevel="1">
      <c r="A201" s="80"/>
      <c r="B201" s="116"/>
      <c r="C201" s="31" t="s">
        <v>14</v>
      </c>
      <c r="D201" s="6"/>
      <c r="E201" s="6"/>
      <c r="F201" s="6"/>
      <c r="G201" s="7"/>
      <c r="H201" s="6"/>
      <c r="I201" s="6"/>
      <c r="J201" s="6"/>
      <c r="K201" s="6"/>
      <c r="L201" s="6"/>
    </row>
    <row r="202" spans="1:12" ht="39.75" customHeight="1" outlineLevel="1">
      <c r="A202" s="80"/>
      <c r="B202" s="116"/>
      <c r="C202" s="31" t="s">
        <v>15</v>
      </c>
      <c r="D202" s="6">
        <v>4777000</v>
      </c>
      <c r="E202" s="6">
        <v>5044000</v>
      </c>
      <c r="F202" s="6">
        <v>5042500</v>
      </c>
      <c r="G202" s="7">
        <v>5853000</v>
      </c>
      <c r="H202" s="6">
        <v>5507600</v>
      </c>
      <c r="I202" s="6">
        <v>987793.4600000001</v>
      </c>
      <c r="J202" s="6">
        <v>0</v>
      </c>
      <c r="K202" s="6">
        <v>0</v>
      </c>
      <c r="L202" s="6">
        <v>0</v>
      </c>
    </row>
    <row r="203" spans="1:12" ht="39.75" customHeight="1" outlineLevel="1">
      <c r="A203" s="80"/>
      <c r="B203" s="116"/>
      <c r="C203" s="32" t="s">
        <v>5</v>
      </c>
      <c r="D203" s="7"/>
      <c r="E203" s="7">
        <v>0</v>
      </c>
      <c r="F203" s="7">
        <v>50935</v>
      </c>
      <c r="G203" s="7">
        <v>59122</v>
      </c>
      <c r="H203" s="6">
        <v>55700</v>
      </c>
      <c r="I203" s="6">
        <v>9977.710000000017</v>
      </c>
      <c r="J203" s="6">
        <v>0</v>
      </c>
      <c r="K203" s="6">
        <v>0</v>
      </c>
      <c r="L203" s="6">
        <v>0</v>
      </c>
    </row>
    <row r="204" spans="1:12" ht="39.75" customHeight="1" outlineLevel="1">
      <c r="A204" s="80"/>
      <c r="B204" s="116"/>
      <c r="C204" s="58" t="s">
        <v>6</v>
      </c>
      <c r="D204" s="7"/>
      <c r="E204" s="7"/>
      <c r="F204" s="7"/>
      <c r="G204" s="7"/>
      <c r="H204" s="6"/>
      <c r="I204" s="6"/>
      <c r="J204" s="6"/>
      <c r="K204" s="6"/>
      <c r="L204" s="6"/>
    </row>
    <row r="205" spans="1:12" ht="24" customHeight="1" outlineLevel="1">
      <c r="A205" s="81"/>
      <c r="B205" s="117"/>
      <c r="C205" s="31" t="s">
        <v>16</v>
      </c>
      <c r="D205" s="6"/>
      <c r="E205" s="6"/>
      <c r="F205" s="6"/>
      <c r="G205" s="7"/>
      <c r="H205" s="6"/>
      <c r="I205" s="6"/>
      <c r="J205" s="6"/>
      <c r="K205" s="6"/>
      <c r="L205" s="6"/>
    </row>
    <row r="206" spans="1:12" ht="28.5" customHeight="1" outlineLevel="1">
      <c r="A206" s="72" t="s">
        <v>75</v>
      </c>
      <c r="B206" s="115"/>
      <c r="C206" s="31" t="s">
        <v>13</v>
      </c>
      <c r="D206" s="6">
        <f aca="true" t="shared" si="60" ref="D206:L206">D207+D208+D209+D210+D211</f>
        <v>0</v>
      </c>
      <c r="E206" s="6">
        <f t="shared" si="60"/>
        <v>0</v>
      </c>
      <c r="F206" s="6">
        <f t="shared" si="60"/>
        <v>0</v>
      </c>
      <c r="G206" s="7">
        <f t="shared" si="60"/>
        <v>0</v>
      </c>
      <c r="H206" s="6">
        <f t="shared" si="60"/>
        <v>0</v>
      </c>
      <c r="I206" s="6">
        <f t="shared" si="60"/>
        <v>2354646.47</v>
      </c>
      <c r="J206" s="6">
        <f t="shared" si="60"/>
        <v>5744949.5</v>
      </c>
      <c r="K206" s="6">
        <f t="shared" si="60"/>
        <v>5997575.76</v>
      </c>
      <c r="L206" s="6">
        <f t="shared" si="60"/>
        <v>5818787.88</v>
      </c>
    </row>
    <row r="207" spans="1:12" ht="21" customHeight="1" outlineLevel="1">
      <c r="A207" s="80"/>
      <c r="B207" s="116"/>
      <c r="C207" s="31" t="s">
        <v>14</v>
      </c>
      <c r="D207" s="6"/>
      <c r="E207" s="6"/>
      <c r="F207" s="6"/>
      <c r="G207" s="7"/>
      <c r="H207" s="6"/>
      <c r="I207" s="6">
        <v>1631770</v>
      </c>
      <c r="J207" s="6">
        <f>1211980+2769269.79</f>
        <v>3981249.79</v>
      </c>
      <c r="K207" s="6">
        <f>1181110+3093961.42</f>
        <v>4275071.42</v>
      </c>
      <c r="L207" s="71">
        <f>1268540+2879091.75</f>
        <v>4147631.75</v>
      </c>
    </row>
    <row r="208" spans="1:12" ht="39.75" customHeight="1" outlineLevel="1">
      <c r="A208" s="80"/>
      <c r="B208" s="116"/>
      <c r="C208" s="31" t="s">
        <v>15</v>
      </c>
      <c r="D208" s="6"/>
      <c r="E208" s="6"/>
      <c r="F208" s="6"/>
      <c r="G208" s="7"/>
      <c r="H208" s="6"/>
      <c r="I208" s="6">
        <v>699330</v>
      </c>
      <c r="J208" s="6">
        <f>519420+1186830.21</f>
        <v>1706250.21</v>
      </c>
      <c r="K208" s="6">
        <f>506190+1156338.58</f>
        <v>1662528.58</v>
      </c>
      <c r="L208" s="71">
        <f>543660+1069308.25</f>
        <v>1612968.25</v>
      </c>
    </row>
    <row r="209" spans="1:12" ht="39.75" customHeight="1" outlineLevel="1">
      <c r="A209" s="80"/>
      <c r="B209" s="116"/>
      <c r="C209" s="32" t="s">
        <v>5</v>
      </c>
      <c r="D209" s="7"/>
      <c r="E209" s="7"/>
      <c r="F209" s="7"/>
      <c r="G209" s="7"/>
      <c r="H209" s="6"/>
      <c r="I209" s="6">
        <v>23546.47</v>
      </c>
      <c r="J209" s="6">
        <f>17488.89+39960.61</f>
        <v>57449.5</v>
      </c>
      <c r="K209" s="6">
        <f>17043.44+42932.32</f>
        <v>59975.759999999995</v>
      </c>
      <c r="L209" s="6">
        <f>18305.05+39882.83</f>
        <v>58187.880000000005</v>
      </c>
    </row>
    <row r="210" spans="1:12" ht="39.75" customHeight="1" outlineLevel="1">
      <c r="A210" s="80"/>
      <c r="B210" s="116"/>
      <c r="C210" s="58" t="s">
        <v>6</v>
      </c>
      <c r="D210" s="7"/>
      <c r="E210" s="7"/>
      <c r="F210" s="7"/>
      <c r="G210" s="7"/>
      <c r="H210" s="6"/>
      <c r="I210" s="6"/>
      <c r="J210" s="6"/>
      <c r="K210" s="6"/>
      <c r="L210" s="6"/>
    </row>
    <row r="211" spans="1:12" ht="24" customHeight="1" outlineLevel="1">
      <c r="A211" s="81"/>
      <c r="B211" s="117"/>
      <c r="C211" s="31" t="s">
        <v>16</v>
      </c>
      <c r="D211" s="6"/>
      <c r="E211" s="6"/>
      <c r="F211" s="6"/>
      <c r="G211" s="7"/>
      <c r="H211" s="6"/>
      <c r="I211" s="6"/>
      <c r="J211" s="6"/>
      <c r="K211" s="6"/>
      <c r="L211" s="6"/>
    </row>
    <row r="212" spans="1:12" s="24" customFormat="1" ht="36" customHeight="1" outlineLevel="1">
      <c r="A212" s="72" t="s">
        <v>61</v>
      </c>
      <c r="B212" s="115"/>
      <c r="C212" s="31" t="s">
        <v>13</v>
      </c>
      <c r="D212" s="6">
        <f aca="true" t="shared" si="61" ref="D212:I212">D213+D214+D215+D216+D217</f>
        <v>0</v>
      </c>
      <c r="E212" s="6">
        <f t="shared" si="61"/>
        <v>0</v>
      </c>
      <c r="F212" s="6">
        <f t="shared" si="61"/>
        <v>340000</v>
      </c>
      <c r="G212" s="7">
        <f t="shared" si="61"/>
        <v>0</v>
      </c>
      <c r="H212" s="6">
        <f t="shared" si="61"/>
        <v>0</v>
      </c>
      <c r="I212" s="6">
        <f t="shared" si="61"/>
        <v>0</v>
      </c>
      <c r="J212" s="6">
        <f>J213+J214+J215+J216+J217</f>
        <v>0</v>
      </c>
      <c r="K212" s="6">
        <f>K213+K214+K215+K216+K217</f>
        <v>0</v>
      </c>
      <c r="L212" s="6">
        <f>L213+L214+L215+L216+L217</f>
        <v>0</v>
      </c>
    </row>
    <row r="213" spans="1:12" s="24" customFormat="1" ht="36" customHeight="1" outlineLevel="1">
      <c r="A213" s="80"/>
      <c r="B213" s="116"/>
      <c r="C213" s="31" t="s">
        <v>14</v>
      </c>
      <c r="D213" s="6"/>
      <c r="E213" s="6"/>
      <c r="F213" s="6"/>
      <c r="G213" s="7"/>
      <c r="H213" s="6"/>
      <c r="I213" s="6"/>
      <c r="J213" s="6"/>
      <c r="K213" s="6"/>
      <c r="L213" s="6"/>
    </row>
    <row r="214" spans="1:12" s="24" customFormat="1" ht="36" customHeight="1" outlineLevel="1">
      <c r="A214" s="80"/>
      <c r="B214" s="116"/>
      <c r="C214" s="31" t="s">
        <v>15</v>
      </c>
      <c r="D214" s="6">
        <v>0</v>
      </c>
      <c r="E214" s="6">
        <v>0</v>
      </c>
      <c r="F214" s="6">
        <v>300000</v>
      </c>
      <c r="G214" s="7"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</row>
    <row r="215" spans="1:12" s="24" customFormat="1" ht="36" customHeight="1" outlineLevel="1">
      <c r="A215" s="80"/>
      <c r="B215" s="116"/>
      <c r="C215" s="32" t="s">
        <v>5</v>
      </c>
      <c r="D215" s="7"/>
      <c r="E215" s="7">
        <v>0</v>
      </c>
      <c r="F215" s="7">
        <v>40000</v>
      </c>
      <c r="G215" s="7">
        <v>0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</row>
    <row r="216" spans="1:12" s="24" customFormat="1" ht="36" customHeight="1" outlineLevel="1">
      <c r="A216" s="80"/>
      <c r="B216" s="116"/>
      <c r="C216" s="44" t="s">
        <v>6</v>
      </c>
      <c r="D216" s="7"/>
      <c r="E216" s="7"/>
      <c r="F216" s="7"/>
      <c r="G216" s="7"/>
      <c r="H216" s="6"/>
      <c r="I216" s="6"/>
      <c r="J216" s="6"/>
      <c r="K216" s="6"/>
      <c r="L216" s="6"/>
    </row>
    <row r="217" spans="1:12" s="24" customFormat="1" ht="36" customHeight="1" outlineLevel="1">
      <c r="A217" s="81"/>
      <c r="B217" s="117"/>
      <c r="C217" s="31" t="s">
        <v>16</v>
      </c>
      <c r="D217" s="6"/>
      <c r="E217" s="6"/>
      <c r="F217" s="6"/>
      <c r="G217" s="7"/>
      <c r="H217" s="6"/>
      <c r="I217" s="6"/>
      <c r="J217" s="6"/>
      <c r="K217" s="6"/>
      <c r="L217" s="6"/>
    </row>
    <row r="218" spans="1:12" ht="24.75" customHeight="1" outlineLevel="1">
      <c r="A218" s="82" t="s">
        <v>34</v>
      </c>
      <c r="B218" s="102"/>
      <c r="C218" s="22" t="s">
        <v>13</v>
      </c>
      <c r="D218" s="4">
        <f>D224+D230+D236</f>
        <v>24000</v>
      </c>
      <c r="E218" s="4">
        <f aca="true" t="shared" si="62" ref="E218:L218">E224+E230+E236</f>
        <v>25600</v>
      </c>
      <c r="F218" s="4">
        <f t="shared" si="62"/>
        <v>17900</v>
      </c>
      <c r="G218" s="4">
        <f t="shared" si="62"/>
        <v>24000</v>
      </c>
      <c r="H218" s="4">
        <f t="shared" si="62"/>
        <v>54000</v>
      </c>
      <c r="I218" s="4">
        <f t="shared" si="62"/>
        <v>44000</v>
      </c>
      <c r="J218" s="4">
        <f t="shared" si="62"/>
        <v>13234500</v>
      </c>
      <c r="K218" s="4">
        <f t="shared" si="62"/>
        <v>13192500</v>
      </c>
      <c r="L218" s="4">
        <f t="shared" si="62"/>
        <v>13192500</v>
      </c>
    </row>
    <row r="219" spans="1:12" ht="18" customHeight="1" outlineLevel="1">
      <c r="A219" s="83"/>
      <c r="B219" s="102"/>
      <c r="C219" s="22" t="s">
        <v>14</v>
      </c>
      <c r="D219" s="4">
        <f aca="true" t="shared" si="63" ref="D219:L223">D225+D231+D237</f>
        <v>0</v>
      </c>
      <c r="E219" s="4">
        <f t="shared" si="63"/>
        <v>0</v>
      </c>
      <c r="F219" s="4">
        <f t="shared" si="63"/>
        <v>0</v>
      </c>
      <c r="G219" s="4">
        <f t="shared" si="63"/>
        <v>0</v>
      </c>
      <c r="H219" s="4">
        <f t="shared" si="63"/>
        <v>0</v>
      </c>
      <c r="I219" s="4">
        <f t="shared" si="63"/>
        <v>0</v>
      </c>
      <c r="J219" s="4">
        <f t="shared" si="63"/>
        <v>13192500</v>
      </c>
      <c r="K219" s="4">
        <f t="shared" si="63"/>
        <v>13192500</v>
      </c>
      <c r="L219" s="4">
        <f t="shared" si="63"/>
        <v>13192500</v>
      </c>
    </row>
    <row r="220" spans="1:12" ht="36" customHeight="1" outlineLevel="1">
      <c r="A220" s="83"/>
      <c r="B220" s="102"/>
      <c r="C220" s="22" t="s">
        <v>15</v>
      </c>
      <c r="D220" s="4">
        <f t="shared" si="63"/>
        <v>0</v>
      </c>
      <c r="E220" s="4">
        <f t="shared" si="63"/>
        <v>0</v>
      </c>
      <c r="F220" s="4">
        <f t="shared" si="63"/>
        <v>0</v>
      </c>
      <c r="G220" s="4">
        <f t="shared" si="63"/>
        <v>0</v>
      </c>
      <c r="H220" s="4">
        <f t="shared" si="63"/>
        <v>0</v>
      </c>
      <c r="I220" s="4">
        <f t="shared" si="63"/>
        <v>0</v>
      </c>
      <c r="J220" s="4">
        <f t="shared" si="63"/>
        <v>0</v>
      </c>
      <c r="K220" s="4">
        <f t="shared" si="63"/>
        <v>0</v>
      </c>
      <c r="L220" s="4">
        <f t="shared" si="63"/>
        <v>0</v>
      </c>
    </row>
    <row r="221" spans="1:12" ht="36" customHeight="1" outlineLevel="1">
      <c r="A221" s="83"/>
      <c r="B221" s="102"/>
      <c r="C221" s="25" t="s">
        <v>5</v>
      </c>
      <c r="D221" s="4">
        <f>D227+D233+D239</f>
        <v>24000</v>
      </c>
      <c r="E221" s="4">
        <f aca="true" t="shared" si="64" ref="E221:L221">E227+E233+E239</f>
        <v>25600</v>
      </c>
      <c r="F221" s="4">
        <f t="shared" si="64"/>
        <v>17900</v>
      </c>
      <c r="G221" s="4">
        <f t="shared" si="64"/>
        <v>24000</v>
      </c>
      <c r="H221" s="4">
        <f t="shared" si="64"/>
        <v>54000</v>
      </c>
      <c r="I221" s="4">
        <f t="shared" si="64"/>
        <v>44000</v>
      </c>
      <c r="J221" s="4">
        <f t="shared" si="64"/>
        <v>42000</v>
      </c>
      <c r="K221" s="4">
        <f t="shared" si="64"/>
        <v>0</v>
      </c>
      <c r="L221" s="4">
        <f t="shared" si="64"/>
        <v>0</v>
      </c>
    </row>
    <row r="222" spans="1:12" ht="36" customHeight="1" outlineLevel="1">
      <c r="A222" s="83"/>
      <c r="B222" s="102"/>
      <c r="C222" s="51" t="s">
        <v>6</v>
      </c>
      <c r="D222" s="4">
        <f t="shared" si="63"/>
        <v>0</v>
      </c>
      <c r="E222" s="4">
        <f t="shared" si="63"/>
        <v>0</v>
      </c>
      <c r="F222" s="4">
        <f t="shared" si="63"/>
        <v>0</v>
      </c>
      <c r="G222" s="4">
        <f t="shared" si="63"/>
        <v>0</v>
      </c>
      <c r="H222" s="4">
        <f t="shared" si="63"/>
        <v>0</v>
      </c>
      <c r="I222" s="4">
        <f t="shared" si="63"/>
        <v>0</v>
      </c>
      <c r="J222" s="4">
        <f t="shared" si="63"/>
        <v>0</v>
      </c>
      <c r="K222" s="4">
        <f t="shared" si="63"/>
        <v>0</v>
      </c>
      <c r="L222" s="4">
        <f t="shared" si="63"/>
        <v>0</v>
      </c>
    </row>
    <row r="223" spans="1:12" ht="36" customHeight="1" outlineLevel="1">
      <c r="A223" s="83"/>
      <c r="B223" s="102"/>
      <c r="C223" s="22" t="s">
        <v>16</v>
      </c>
      <c r="D223" s="4">
        <f t="shared" si="63"/>
        <v>0</v>
      </c>
      <c r="E223" s="4">
        <f t="shared" si="63"/>
        <v>0</v>
      </c>
      <c r="F223" s="4">
        <f t="shared" si="63"/>
        <v>0</v>
      </c>
      <c r="G223" s="4">
        <f t="shared" si="63"/>
        <v>0</v>
      </c>
      <c r="H223" s="4">
        <f t="shared" si="63"/>
        <v>0</v>
      </c>
      <c r="I223" s="4">
        <f t="shared" si="63"/>
        <v>0</v>
      </c>
      <c r="J223" s="4">
        <f t="shared" si="63"/>
        <v>0</v>
      </c>
      <c r="K223" s="4">
        <f t="shared" si="63"/>
        <v>0</v>
      </c>
      <c r="L223" s="4">
        <f t="shared" si="63"/>
        <v>0</v>
      </c>
    </row>
    <row r="224" spans="1:12" ht="36" customHeight="1" outlineLevel="1">
      <c r="A224" s="91" t="s">
        <v>33</v>
      </c>
      <c r="B224" s="94"/>
      <c r="C224" s="31" t="s">
        <v>13</v>
      </c>
      <c r="D224" s="6">
        <f aca="true" t="shared" si="65" ref="D224:I224">D225+D226+D227+D228+D229</f>
        <v>24000</v>
      </c>
      <c r="E224" s="6">
        <f t="shared" si="65"/>
        <v>25600</v>
      </c>
      <c r="F224" s="6">
        <f t="shared" si="65"/>
        <v>9900</v>
      </c>
      <c r="G224" s="7">
        <f t="shared" si="65"/>
        <v>0</v>
      </c>
      <c r="H224" s="6">
        <f t="shared" si="65"/>
        <v>30000</v>
      </c>
      <c r="I224" s="6">
        <f t="shared" si="65"/>
        <v>20000</v>
      </c>
      <c r="J224" s="6">
        <f>J225+J226+J227+J228+J229</f>
        <v>30000</v>
      </c>
      <c r="K224" s="6">
        <f>K225+K226+K227+K228+K229</f>
        <v>0</v>
      </c>
      <c r="L224" s="6">
        <f>L225+L226+L227+L228+L229</f>
        <v>0</v>
      </c>
    </row>
    <row r="225" spans="1:12" ht="36" customHeight="1" outlineLevel="1">
      <c r="A225" s="92"/>
      <c r="B225" s="94"/>
      <c r="C225" s="31" t="s">
        <v>14</v>
      </c>
      <c r="D225" s="6"/>
      <c r="E225" s="6"/>
      <c r="F225" s="6"/>
      <c r="G225" s="7"/>
      <c r="H225" s="6"/>
      <c r="I225" s="6"/>
      <c r="J225" s="6"/>
      <c r="K225" s="6"/>
      <c r="L225" s="6"/>
    </row>
    <row r="226" spans="1:12" ht="36" customHeight="1" outlineLevel="1">
      <c r="A226" s="92"/>
      <c r="B226" s="94"/>
      <c r="C226" s="31" t="s">
        <v>15</v>
      </c>
      <c r="D226" s="6"/>
      <c r="E226" s="6"/>
      <c r="F226" s="6"/>
      <c r="G226" s="7"/>
      <c r="H226" s="6"/>
      <c r="I226" s="6"/>
      <c r="J226" s="6"/>
      <c r="K226" s="6"/>
      <c r="L226" s="6"/>
    </row>
    <row r="227" spans="1:12" ht="36" customHeight="1" outlineLevel="1">
      <c r="A227" s="92"/>
      <c r="B227" s="94"/>
      <c r="C227" s="32" t="s">
        <v>5</v>
      </c>
      <c r="D227" s="7">
        <v>24000</v>
      </c>
      <c r="E227" s="7">
        <f>80000-54400</f>
        <v>25600</v>
      </c>
      <c r="F227" s="7">
        <f>30000-19100-1000</f>
        <v>9900</v>
      </c>
      <c r="G227" s="7">
        <v>0</v>
      </c>
      <c r="H227" s="6">
        <f>9500+5513+30000-15013</f>
        <v>30000</v>
      </c>
      <c r="I227" s="6">
        <f>30000-10000</f>
        <v>20000</v>
      </c>
      <c r="J227" s="6">
        <v>30000</v>
      </c>
      <c r="K227" s="6">
        <v>0</v>
      </c>
      <c r="L227" s="6">
        <v>0</v>
      </c>
    </row>
    <row r="228" spans="1:12" ht="36" customHeight="1" outlineLevel="1">
      <c r="A228" s="92"/>
      <c r="B228" s="94"/>
      <c r="C228" s="44" t="s">
        <v>6</v>
      </c>
      <c r="D228" s="7"/>
      <c r="E228" s="7"/>
      <c r="F228" s="7"/>
      <c r="G228" s="7"/>
      <c r="H228" s="6"/>
      <c r="I228" s="6"/>
      <c r="J228" s="6"/>
      <c r="K228" s="6"/>
      <c r="L228" s="6"/>
    </row>
    <row r="229" spans="1:12" ht="36" customHeight="1" outlineLevel="1">
      <c r="A229" s="92"/>
      <c r="B229" s="94"/>
      <c r="C229" s="31" t="s">
        <v>16</v>
      </c>
      <c r="D229" s="6"/>
      <c r="E229" s="6"/>
      <c r="F229" s="6"/>
      <c r="G229" s="7"/>
      <c r="H229" s="6"/>
      <c r="I229" s="6"/>
      <c r="J229" s="6"/>
      <c r="K229" s="6"/>
      <c r="L229" s="6"/>
    </row>
    <row r="230" spans="1:12" ht="36" customHeight="1" outlineLevel="1">
      <c r="A230" s="91" t="s">
        <v>32</v>
      </c>
      <c r="B230" s="94"/>
      <c r="C230" s="31" t="s">
        <v>13</v>
      </c>
      <c r="D230" s="6">
        <f aca="true" t="shared" si="66" ref="D230:I230">D231+D232+D233+D234+D235</f>
        <v>0</v>
      </c>
      <c r="E230" s="6">
        <f t="shared" si="66"/>
        <v>0</v>
      </c>
      <c r="F230" s="6">
        <f t="shared" si="66"/>
        <v>8000</v>
      </c>
      <c r="G230" s="7">
        <f t="shared" si="66"/>
        <v>24000</v>
      </c>
      <c r="H230" s="6">
        <f t="shared" si="66"/>
        <v>24000</v>
      </c>
      <c r="I230" s="6">
        <f t="shared" si="66"/>
        <v>24000</v>
      </c>
      <c r="J230" s="6">
        <f>J231+J232+J233+J234+J235</f>
        <v>12000</v>
      </c>
      <c r="K230" s="6">
        <f>K231+K232+K233+K234+K235</f>
        <v>0</v>
      </c>
      <c r="L230" s="6">
        <f>L231+L232+L233+L234+L235</f>
        <v>0</v>
      </c>
    </row>
    <row r="231" spans="1:12" ht="36" customHeight="1" outlineLevel="1">
      <c r="A231" s="92"/>
      <c r="B231" s="94"/>
      <c r="C231" s="31" t="s">
        <v>14</v>
      </c>
      <c r="D231" s="6"/>
      <c r="E231" s="6"/>
      <c r="F231" s="6"/>
      <c r="G231" s="7"/>
      <c r="H231" s="6"/>
      <c r="I231" s="6"/>
      <c r="J231" s="6"/>
      <c r="K231" s="6"/>
      <c r="L231" s="6"/>
    </row>
    <row r="232" spans="1:12" ht="36" customHeight="1" outlineLevel="1">
      <c r="A232" s="92"/>
      <c r="B232" s="94"/>
      <c r="C232" s="31" t="s">
        <v>15</v>
      </c>
      <c r="D232" s="6"/>
      <c r="E232" s="6"/>
      <c r="F232" s="6"/>
      <c r="G232" s="7"/>
      <c r="H232" s="6"/>
      <c r="I232" s="6"/>
      <c r="J232" s="6"/>
      <c r="K232" s="6"/>
      <c r="L232" s="6"/>
    </row>
    <row r="233" spans="1:12" ht="36" customHeight="1" outlineLevel="1">
      <c r="A233" s="92"/>
      <c r="B233" s="94"/>
      <c r="C233" s="32" t="s">
        <v>5</v>
      </c>
      <c r="D233" s="7">
        <v>0</v>
      </c>
      <c r="E233" s="7">
        <v>0</v>
      </c>
      <c r="F233" s="7">
        <v>8000</v>
      </c>
      <c r="G233" s="7">
        <v>24000</v>
      </c>
      <c r="H233" s="6">
        <v>24000</v>
      </c>
      <c r="I233" s="6">
        <v>24000</v>
      </c>
      <c r="J233" s="6">
        <v>12000</v>
      </c>
      <c r="K233" s="6">
        <v>0</v>
      </c>
      <c r="L233" s="6">
        <v>0</v>
      </c>
    </row>
    <row r="234" spans="1:12" ht="36" customHeight="1" outlineLevel="1">
      <c r="A234" s="92"/>
      <c r="B234" s="94"/>
      <c r="C234" s="44" t="s">
        <v>6</v>
      </c>
      <c r="D234" s="7"/>
      <c r="E234" s="7"/>
      <c r="F234" s="7"/>
      <c r="G234" s="7"/>
      <c r="H234" s="6"/>
      <c r="I234" s="6"/>
      <c r="J234" s="6"/>
      <c r="K234" s="6"/>
      <c r="L234" s="6"/>
    </row>
    <row r="235" spans="1:12" ht="54.75" customHeight="1" outlineLevel="1">
      <c r="A235" s="92"/>
      <c r="B235" s="94"/>
      <c r="C235" s="31" t="s">
        <v>16</v>
      </c>
      <c r="D235" s="6"/>
      <c r="E235" s="6"/>
      <c r="F235" s="6"/>
      <c r="G235" s="7"/>
      <c r="H235" s="6"/>
      <c r="I235" s="6"/>
      <c r="J235" s="6"/>
      <c r="K235" s="6"/>
      <c r="L235" s="6"/>
    </row>
    <row r="236" spans="1:12" s="24" customFormat="1" ht="36" customHeight="1" outlineLevel="1">
      <c r="A236" s="103" t="s">
        <v>82</v>
      </c>
      <c r="B236" s="88"/>
      <c r="C236" s="62" t="s">
        <v>13</v>
      </c>
      <c r="D236" s="30">
        <f aca="true" t="shared" si="67" ref="D236:L236">D237+D238+D239+D240+D241</f>
        <v>0</v>
      </c>
      <c r="E236" s="30">
        <f t="shared" si="67"/>
        <v>0</v>
      </c>
      <c r="F236" s="30">
        <f t="shared" si="67"/>
        <v>0</v>
      </c>
      <c r="G236" s="5">
        <f t="shared" si="67"/>
        <v>0</v>
      </c>
      <c r="H236" s="6">
        <f t="shared" si="67"/>
        <v>0</v>
      </c>
      <c r="I236" s="6">
        <f t="shared" si="67"/>
        <v>0</v>
      </c>
      <c r="J236" s="6">
        <f t="shared" si="67"/>
        <v>13192500</v>
      </c>
      <c r="K236" s="6">
        <f t="shared" si="67"/>
        <v>13192500</v>
      </c>
      <c r="L236" s="6">
        <f t="shared" si="67"/>
        <v>13192500</v>
      </c>
    </row>
    <row r="237" spans="1:12" s="24" customFormat="1" ht="36" customHeight="1" outlineLevel="1">
      <c r="A237" s="104"/>
      <c r="B237" s="89"/>
      <c r="C237" s="62" t="s">
        <v>14</v>
      </c>
      <c r="D237" s="6"/>
      <c r="E237" s="6"/>
      <c r="F237" s="6"/>
      <c r="G237" s="7"/>
      <c r="H237" s="6"/>
      <c r="I237" s="6"/>
      <c r="J237" s="6">
        <v>13192500</v>
      </c>
      <c r="K237" s="6">
        <v>13192500</v>
      </c>
      <c r="L237" s="6">
        <v>13192500</v>
      </c>
    </row>
    <row r="238" spans="1:12" s="24" customFormat="1" ht="36" customHeight="1" outlineLevel="1">
      <c r="A238" s="104"/>
      <c r="B238" s="89"/>
      <c r="C238" s="31" t="s">
        <v>15</v>
      </c>
      <c r="D238" s="6"/>
      <c r="E238" s="6"/>
      <c r="F238" s="6"/>
      <c r="G238" s="7"/>
      <c r="H238" s="7"/>
      <c r="I238" s="7"/>
      <c r="J238" s="7"/>
      <c r="K238" s="6"/>
      <c r="L238" s="6"/>
    </row>
    <row r="239" spans="1:12" s="24" customFormat="1" ht="36" customHeight="1" outlineLevel="1">
      <c r="A239" s="104"/>
      <c r="B239" s="89"/>
      <c r="C239" s="32" t="s">
        <v>5</v>
      </c>
      <c r="D239" s="7"/>
      <c r="E239" s="7"/>
      <c r="F239" s="7"/>
      <c r="G239" s="7"/>
      <c r="H239" s="6"/>
      <c r="I239" s="6"/>
      <c r="J239" s="6"/>
      <c r="K239" s="6"/>
      <c r="L239" s="6"/>
    </row>
    <row r="240" spans="1:12" s="24" customFormat="1" ht="36" customHeight="1" outlineLevel="1">
      <c r="A240" s="104"/>
      <c r="B240" s="89"/>
      <c r="C240" s="64" t="s">
        <v>6</v>
      </c>
      <c r="D240" s="7"/>
      <c r="E240" s="7"/>
      <c r="F240" s="7"/>
      <c r="G240" s="7"/>
      <c r="H240" s="6"/>
      <c r="I240" s="6"/>
      <c r="J240" s="6"/>
      <c r="K240" s="6"/>
      <c r="L240" s="6"/>
    </row>
    <row r="241" spans="1:12" s="24" customFormat="1" ht="36" customHeight="1" outlineLevel="1">
      <c r="A241" s="135"/>
      <c r="B241" s="90"/>
      <c r="C241" s="63" t="s">
        <v>16</v>
      </c>
      <c r="D241" s="6"/>
      <c r="E241" s="6"/>
      <c r="F241" s="6"/>
      <c r="G241" s="7"/>
      <c r="H241" s="6"/>
      <c r="I241" s="6"/>
      <c r="J241" s="6"/>
      <c r="K241" s="6"/>
      <c r="L241" s="6"/>
    </row>
    <row r="242" spans="1:12" ht="24.75" customHeight="1" outlineLevel="1">
      <c r="A242" s="82" t="s">
        <v>64</v>
      </c>
      <c r="B242" s="102"/>
      <c r="C242" s="22" t="s">
        <v>13</v>
      </c>
      <c r="D242" s="4">
        <f aca="true" t="shared" si="68" ref="D242:I242">D248</f>
        <v>0</v>
      </c>
      <c r="E242" s="4">
        <f t="shared" si="68"/>
        <v>0</v>
      </c>
      <c r="F242" s="4">
        <f t="shared" si="68"/>
        <v>0</v>
      </c>
      <c r="G242" s="4">
        <f t="shared" si="68"/>
        <v>0</v>
      </c>
      <c r="H242" s="4">
        <f t="shared" si="68"/>
        <v>0</v>
      </c>
      <c r="I242" s="4">
        <f t="shared" si="68"/>
        <v>4541647.96</v>
      </c>
      <c r="J242" s="4">
        <f aca="true" t="shared" si="69" ref="J242:L247">J248</f>
        <v>700000</v>
      </c>
      <c r="K242" s="4">
        <f t="shared" si="69"/>
        <v>0</v>
      </c>
      <c r="L242" s="4">
        <f t="shared" si="69"/>
        <v>0</v>
      </c>
    </row>
    <row r="243" spans="1:12" ht="18" customHeight="1" outlineLevel="1">
      <c r="A243" s="83"/>
      <c r="B243" s="102"/>
      <c r="C243" s="22" t="s">
        <v>14</v>
      </c>
      <c r="D243" s="4">
        <f aca="true" t="shared" si="70" ref="D243:G247">D249</f>
        <v>0</v>
      </c>
      <c r="E243" s="4">
        <f t="shared" si="70"/>
        <v>0</v>
      </c>
      <c r="F243" s="4">
        <f t="shared" si="70"/>
        <v>0</v>
      </c>
      <c r="G243" s="4">
        <f t="shared" si="70"/>
        <v>0</v>
      </c>
      <c r="H243" s="4">
        <f aca="true" t="shared" si="71" ref="H243:I247">H249</f>
        <v>0</v>
      </c>
      <c r="I243" s="4">
        <f t="shared" si="71"/>
        <v>0</v>
      </c>
      <c r="J243" s="4">
        <f t="shared" si="69"/>
        <v>0</v>
      </c>
      <c r="K243" s="4">
        <f t="shared" si="69"/>
        <v>0</v>
      </c>
      <c r="L243" s="4">
        <f t="shared" si="69"/>
        <v>0</v>
      </c>
    </row>
    <row r="244" spans="1:12" ht="36" customHeight="1" outlineLevel="1">
      <c r="A244" s="83"/>
      <c r="B244" s="102"/>
      <c r="C244" s="22" t="s">
        <v>15</v>
      </c>
      <c r="D244" s="4">
        <f t="shared" si="70"/>
        <v>0</v>
      </c>
      <c r="E244" s="4">
        <f t="shared" si="70"/>
        <v>0</v>
      </c>
      <c r="F244" s="4">
        <f t="shared" si="70"/>
        <v>0</v>
      </c>
      <c r="G244" s="4">
        <f t="shared" si="70"/>
        <v>0</v>
      </c>
      <c r="H244" s="4">
        <f t="shared" si="71"/>
        <v>0</v>
      </c>
      <c r="I244" s="4">
        <f t="shared" si="71"/>
        <v>0</v>
      </c>
      <c r="J244" s="4">
        <f t="shared" si="69"/>
        <v>0</v>
      </c>
      <c r="K244" s="4">
        <f t="shared" si="69"/>
        <v>0</v>
      </c>
      <c r="L244" s="4">
        <f t="shared" si="69"/>
        <v>0</v>
      </c>
    </row>
    <row r="245" spans="1:12" ht="36" customHeight="1" outlineLevel="1">
      <c r="A245" s="83"/>
      <c r="B245" s="102"/>
      <c r="C245" s="25" t="s">
        <v>5</v>
      </c>
      <c r="D245" s="4">
        <f t="shared" si="70"/>
        <v>0</v>
      </c>
      <c r="E245" s="4">
        <f t="shared" si="70"/>
        <v>0</v>
      </c>
      <c r="F245" s="4">
        <f t="shared" si="70"/>
        <v>0</v>
      </c>
      <c r="G245" s="4">
        <f t="shared" si="70"/>
        <v>0</v>
      </c>
      <c r="H245" s="4">
        <f t="shared" si="71"/>
        <v>0</v>
      </c>
      <c r="I245" s="4">
        <f t="shared" si="71"/>
        <v>4541647.96</v>
      </c>
      <c r="J245" s="4">
        <f t="shared" si="69"/>
        <v>700000</v>
      </c>
      <c r="K245" s="4">
        <f t="shared" si="69"/>
        <v>0</v>
      </c>
      <c r="L245" s="4">
        <f t="shared" si="69"/>
        <v>0</v>
      </c>
    </row>
    <row r="246" spans="1:12" ht="36" customHeight="1" outlineLevel="1">
      <c r="A246" s="83"/>
      <c r="B246" s="102"/>
      <c r="C246" s="51" t="s">
        <v>6</v>
      </c>
      <c r="D246" s="4">
        <f t="shared" si="70"/>
        <v>0</v>
      </c>
      <c r="E246" s="4">
        <f t="shared" si="70"/>
        <v>0</v>
      </c>
      <c r="F246" s="4">
        <f t="shared" si="70"/>
        <v>0</v>
      </c>
      <c r="G246" s="4">
        <f t="shared" si="70"/>
        <v>0</v>
      </c>
      <c r="H246" s="4">
        <f t="shared" si="71"/>
        <v>0</v>
      </c>
      <c r="I246" s="4">
        <f t="shared" si="71"/>
        <v>0</v>
      </c>
      <c r="J246" s="4">
        <f t="shared" si="69"/>
        <v>0</v>
      </c>
      <c r="K246" s="4">
        <f t="shared" si="69"/>
        <v>0</v>
      </c>
      <c r="L246" s="4">
        <f t="shared" si="69"/>
        <v>0</v>
      </c>
    </row>
    <row r="247" spans="1:12" ht="36" customHeight="1" outlineLevel="1">
      <c r="A247" s="83"/>
      <c r="B247" s="102"/>
      <c r="C247" s="22" t="s">
        <v>16</v>
      </c>
      <c r="D247" s="4">
        <f t="shared" si="70"/>
        <v>0</v>
      </c>
      <c r="E247" s="4">
        <f t="shared" si="70"/>
        <v>0</v>
      </c>
      <c r="F247" s="4">
        <f t="shared" si="70"/>
        <v>0</v>
      </c>
      <c r="G247" s="4">
        <f t="shared" si="70"/>
        <v>0</v>
      </c>
      <c r="H247" s="4">
        <f t="shared" si="71"/>
        <v>0</v>
      </c>
      <c r="I247" s="4">
        <f t="shared" si="71"/>
        <v>0</v>
      </c>
      <c r="J247" s="4">
        <f t="shared" si="69"/>
        <v>0</v>
      </c>
      <c r="K247" s="4">
        <f t="shared" si="69"/>
        <v>0</v>
      </c>
      <c r="L247" s="4">
        <f t="shared" si="69"/>
        <v>0</v>
      </c>
    </row>
    <row r="248" spans="1:12" s="27" customFormat="1" ht="36" customHeight="1">
      <c r="A248" s="91" t="s">
        <v>65</v>
      </c>
      <c r="B248" s="94"/>
      <c r="C248" s="31" t="s">
        <v>13</v>
      </c>
      <c r="D248" s="6">
        <f aca="true" t="shared" si="72" ref="D248:I248">D249+D250+D251+D252+D253</f>
        <v>0</v>
      </c>
      <c r="E248" s="6">
        <f t="shared" si="72"/>
        <v>0</v>
      </c>
      <c r="F248" s="6">
        <f t="shared" si="72"/>
        <v>0</v>
      </c>
      <c r="G248" s="7">
        <f t="shared" si="72"/>
        <v>0</v>
      </c>
      <c r="H248" s="6">
        <f t="shared" si="72"/>
        <v>0</v>
      </c>
      <c r="I248" s="6">
        <f t="shared" si="72"/>
        <v>4541647.96</v>
      </c>
      <c r="J248" s="6">
        <f>J249+J250+J251+J252+J253</f>
        <v>700000</v>
      </c>
      <c r="K248" s="6">
        <f>K249+K250+K251+K252+K253</f>
        <v>0</v>
      </c>
      <c r="L248" s="6">
        <f>L249+L250+L251+L252+L253</f>
        <v>0</v>
      </c>
    </row>
    <row r="249" spans="1:12" s="27" customFormat="1" ht="36" customHeight="1">
      <c r="A249" s="92"/>
      <c r="B249" s="94"/>
      <c r="C249" s="31" t="s">
        <v>14</v>
      </c>
      <c r="D249" s="6"/>
      <c r="E249" s="6"/>
      <c r="F249" s="6"/>
      <c r="G249" s="7"/>
      <c r="H249" s="6"/>
      <c r="I249" s="6"/>
      <c r="J249" s="6"/>
      <c r="K249" s="6"/>
      <c r="L249" s="6"/>
    </row>
    <row r="250" spans="1:12" s="27" customFormat="1" ht="36" customHeight="1">
      <c r="A250" s="92"/>
      <c r="B250" s="94"/>
      <c r="C250" s="31" t="s">
        <v>15</v>
      </c>
      <c r="D250" s="6"/>
      <c r="E250" s="6"/>
      <c r="F250" s="6"/>
      <c r="G250" s="7"/>
      <c r="H250" s="6"/>
      <c r="I250" s="6"/>
      <c r="J250" s="6"/>
      <c r="K250" s="6"/>
      <c r="L250" s="6"/>
    </row>
    <row r="251" spans="1:12" s="27" customFormat="1" ht="36" customHeight="1">
      <c r="A251" s="92"/>
      <c r="B251" s="94"/>
      <c r="C251" s="32" t="s">
        <v>5</v>
      </c>
      <c r="D251" s="7">
        <v>0</v>
      </c>
      <c r="E251" s="7">
        <v>0</v>
      </c>
      <c r="F251" s="7">
        <v>0</v>
      </c>
      <c r="G251" s="7">
        <v>0</v>
      </c>
      <c r="H251" s="6">
        <v>0</v>
      </c>
      <c r="I251" s="6">
        <v>4541647.96</v>
      </c>
      <c r="J251" s="6">
        <v>700000</v>
      </c>
      <c r="K251" s="6">
        <v>0</v>
      </c>
      <c r="L251" s="6">
        <v>0</v>
      </c>
    </row>
    <row r="252" spans="1:12" s="27" customFormat="1" ht="36" customHeight="1">
      <c r="A252" s="92"/>
      <c r="B252" s="94"/>
      <c r="C252" s="44" t="s">
        <v>6</v>
      </c>
      <c r="D252" s="7"/>
      <c r="E252" s="7"/>
      <c r="F252" s="7"/>
      <c r="G252" s="7"/>
      <c r="H252" s="6"/>
      <c r="I252" s="6"/>
      <c r="J252" s="6"/>
      <c r="K252" s="6"/>
      <c r="L252" s="6"/>
    </row>
    <row r="253" spans="1:12" s="27" customFormat="1" ht="36" customHeight="1">
      <c r="A253" s="92"/>
      <c r="B253" s="94"/>
      <c r="C253" s="31" t="s">
        <v>16</v>
      </c>
      <c r="D253" s="6"/>
      <c r="E253" s="6"/>
      <c r="F253" s="6"/>
      <c r="G253" s="7"/>
      <c r="H253" s="6"/>
      <c r="I253" s="6"/>
      <c r="J253" s="6"/>
      <c r="K253" s="6"/>
      <c r="L253" s="6"/>
    </row>
    <row r="254" spans="1:12" s="24" customFormat="1" ht="33.75" customHeight="1" outlineLevel="1">
      <c r="A254" s="87" t="s">
        <v>8</v>
      </c>
      <c r="B254" s="105" t="s">
        <v>17</v>
      </c>
      <c r="C254" s="28" t="s">
        <v>13</v>
      </c>
      <c r="D254" s="10">
        <f>D260+D296+D314</f>
        <v>10792637.51</v>
      </c>
      <c r="E254" s="10">
        <f aca="true" t="shared" si="73" ref="E254:L254">E260+E296+E314</f>
        <v>10608256.27</v>
      </c>
      <c r="F254" s="10">
        <f t="shared" si="73"/>
        <v>10365386</v>
      </c>
      <c r="G254" s="10">
        <f t="shared" si="73"/>
        <v>12449476.96</v>
      </c>
      <c r="H254" s="10">
        <f t="shared" si="73"/>
        <v>14404002.72</v>
      </c>
      <c r="I254" s="10">
        <f t="shared" si="73"/>
        <v>17080239.31</v>
      </c>
      <c r="J254" s="10">
        <f t="shared" si="73"/>
        <v>14766233</v>
      </c>
      <c r="K254" s="10">
        <f t="shared" si="73"/>
        <v>15598626.26</v>
      </c>
      <c r="L254" s="10">
        <f t="shared" si="73"/>
        <v>15498626.26</v>
      </c>
    </row>
    <row r="255" spans="1:12" s="24" customFormat="1" ht="33.75" customHeight="1" outlineLevel="1">
      <c r="A255" s="87"/>
      <c r="B255" s="105"/>
      <c r="C255" s="28" t="s">
        <v>14</v>
      </c>
      <c r="D255" s="10">
        <f aca="true" t="shared" si="74" ref="D255:L259">D261+D297+D315</f>
        <v>0</v>
      </c>
      <c r="E255" s="10">
        <f t="shared" si="74"/>
        <v>0</v>
      </c>
      <c r="F255" s="10">
        <f t="shared" si="74"/>
        <v>0</v>
      </c>
      <c r="G255" s="10">
        <f t="shared" si="74"/>
        <v>0</v>
      </c>
      <c r="H255" s="10">
        <f t="shared" si="74"/>
        <v>0</v>
      </c>
      <c r="I255" s="10">
        <f t="shared" si="74"/>
        <v>0</v>
      </c>
      <c r="J255" s="10">
        <f t="shared" si="74"/>
        <v>0</v>
      </c>
      <c r="K255" s="10">
        <f t="shared" si="74"/>
        <v>0</v>
      </c>
      <c r="L255" s="10">
        <f t="shared" si="74"/>
        <v>0</v>
      </c>
    </row>
    <row r="256" spans="1:12" s="24" customFormat="1" ht="33.75" customHeight="1" outlineLevel="1">
      <c r="A256" s="111"/>
      <c r="B256" s="105"/>
      <c r="C256" s="28" t="s">
        <v>15</v>
      </c>
      <c r="D256" s="10">
        <f t="shared" si="74"/>
        <v>512160.51</v>
      </c>
      <c r="E256" s="10">
        <f t="shared" si="74"/>
        <v>438505.27</v>
      </c>
      <c r="F256" s="10">
        <f t="shared" si="74"/>
        <v>1418081</v>
      </c>
      <c r="G256" s="10">
        <f t="shared" si="74"/>
        <v>2099387</v>
      </c>
      <c r="H256" s="10">
        <f t="shared" si="74"/>
        <v>4847426</v>
      </c>
      <c r="I256" s="10">
        <f t="shared" si="74"/>
        <v>4818754.94</v>
      </c>
      <c r="J256" s="10">
        <f t="shared" si="74"/>
        <v>6300500</v>
      </c>
      <c r="K256" s="10">
        <f t="shared" si="74"/>
        <v>6310500</v>
      </c>
      <c r="L256" s="10">
        <f t="shared" si="74"/>
        <v>6310500</v>
      </c>
    </row>
    <row r="257" spans="1:12" s="24" customFormat="1" ht="33.75" customHeight="1" outlineLevel="1">
      <c r="A257" s="87"/>
      <c r="B257" s="105"/>
      <c r="C257" s="29" t="s">
        <v>5</v>
      </c>
      <c r="D257" s="10">
        <f t="shared" si="74"/>
        <v>10280477</v>
      </c>
      <c r="E257" s="10">
        <f t="shared" si="74"/>
        <v>10169751</v>
      </c>
      <c r="F257" s="10">
        <f t="shared" si="74"/>
        <v>8947305</v>
      </c>
      <c r="G257" s="10">
        <f t="shared" si="74"/>
        <v>10350089.96</v>
      </c>
      <c r="H257" s="10">
        <f t="shared" si="74"/>
        <v>9556576.72</v>
      </c>
      <c r="I257" s="10">
        <f t="shared" si="74"/>
        <v>12261484.37</v>
      </c>
      <c r="J257" s="10">
        <f t="shared" si="74"/>
        <v>8465733</v>
      </c>
      <c r="K257" s="10">
        <f t="shared" si="74"/>
        <v>9288126.26</v>
      </c>
      <c r="L257" s="10">
        <f t="shared" si="74"/>
        <v>9188126.26</v>
      </c>
    </row>
    <row r="258" spans="1:12" s="24" customFormat="1" ht="33.75" customHeight="1" outlineLevel="1">
      <c r="A258" s="87"/>
      <c r="B258" s="105"/>
      <c r="C258" s="50" t="s">
        <v>6</v>
      </c>
      <c r="D258" s="10">
        <f t="shared" si="74"/>
        <v>0</v>
      </c>
      <c r="E258" s="10">
        <f t="shared" si="74"/>
        <v>0</v>
      </c>
      <c r="F258" s="10">
        <f t="shared" si="74"/>
        <v>0</v>
      </c>
      <c r="G258" s="10">
        <f t="shared" si="74"/>
        <v>0</v>
      </c>
      <c r="H258" s="10">
        <f t="shared" si="74"/>
        <v>0</v>
      </c>
      <c r="I258" s="10">
        <f t="shared" si="74"/>
        <v>0</v>
      </c>
      <c r="J258" s="10">
        <f t="shared" si="74"/>
        <v>0</v>
      </c>
      <c r="K258" s="10">
        <f t="shared" si="74"/>
        <v>0</v>
      </c>
      <c r="L258" s="10">
        <f t="shared" si="74"/>
        <v>0</v>
      </c>
    </row>
    <row r="259" spans="1:12" s="24" customFormat="1" ht="33.75" customHeight="1" outlineLevel="1">
      <c r="A259" s="87"/>
      <c r="B259" s="105"/>
      <c r="C259" s="28" t="s">
        <v>16</v>
      </c>
      <c r="D259" s="10">
        <f t="shared" si="74"/>
        <v>0</v>
      </c>
      <c r="E259" s="10">
        <f t="shared" si="74"/>
        <v>0</v>
      </c>
      <c r="F259" s="10">
        <f t="shared" si="74"/>
        <v>0</v>
      </c>
      <c r="G259" s="10">
        <f t="shared" si="74"/>
        <v>0</v>
      </c>
      <c r="H259" s="10">
        <f t="shared" si="74"/>
        <v>0</v>
      </c>
      <c r="I259" s="10">
        <f t="shared" si="74"/>
        <v>0</v>
      </c>
      <c r="J259" s="10">
        <f t="shared" si="74"/>
        <v>0</v>
      </c>
      <c r="K259" s="10">
        <f t="shared" si="74"/>
        <v>0</v>
      </c>
      <c r="L259" s="10">
        <f t="shared" si="74"/>
        <v>0</v>
      </c>
    </row>
    <row r="260" spans="1:12" ht="36" customHeight="1" outlineLevel="1">
      <c r="A260" s="84" t="s">
        <v>23</v>
      </c>
      <c r="B260" s="128"/>
      <c r="C260" s="22" t="s">
        <v>13</v>
      </c>
      <c r="D260" s="4">
        <f aca="true" t="shared" si="75" ref="D260:H265">D266</f>
        <v>10242600</v>
      </c>
      <c r="E260" s="4">
        <f t="shared" si="75"/>
        <v>10169751</v>
      </c>
      <c r="F260" s="4">
        <f t="shared" si="75"/>
        <v>10077746</v>
      </c>
      <c r="G260" s="4">
        <f t="shared" si="75"/>
        <v>12125116.96</v>
      </c>
      <c r="H260" s="4">
        <f>H262+H263</f>
        <v>13892578.32</v>
      </c>
      <c r="I260" s="4">
        <f>I262+I263</f>
        <v>16391467.989999998</v>
      </c>
      <c r="J260" s="4">
        <f>J262+J263</f>
        <v>14425733</v>
      </c>
      <c r="K260" s="4">
        <f>K262+K263</f>
        <v>15238326.26</v>
      </c>
      <c r="L260" s="4">
        <f>L262+L263</f>
        <v>15148626.26</v>
      </c>
    </row>
    <row r="261" spans="1:12" ht="36" customHeight="1" outlineLevel="1">
      <c r="A261" s="85"/>
      <c r="B261" s="128"/>
      <c r="C261" s="22" t="s">
        <v>14</v>
      </c>
      <c r="D261" s="4">
        <f t="shared" si="75"/>
        <v>0</v>
      </c>
      <c r="E261" s="4">
        <f t="shared" si="75"/>
        <v>0</v>
      </c>
      <c r="F261" s="4">
        <f t="shared" si="75"/>
        <v>0</v>
      </c>
      <c r="G261" s="4">
        <f t="shared" si="75"/>
        <v>0</v>
      </c>
      <c r="H261" s="4">
        <f t="shared" si="75"/>
        <v>0</v>
      </c>
      <c r="I261" s="4">
        <f aca="true" t="shared" si="76" ref="I261:L265">I267</f>
        <v>0</v>
      </c>
      <c r="J261" s="4">
        <f t="shared" si="76"/>
        <v>0</v>
      </c>
      <c r="K261" s="4">
        <f t="shared" si="76"/>
        <v>0</v>
      </c>
      <c r="L261" s="4">
        <f t="shared" si="76"/>
        <v>0</v>
      </c>
    </row>
    <row r="262" spans="1:12" ht="36" customHeight="1" outlineLevel="1">
      <c r="A262" s="85"/>
      <c r="B262" s="128"/>
      <c r="C262" s="22" t="s">
        <v>15</v>
      </c>
      <c r="D262" s="4">
        <f t="shared" si="75"/>
        <v>0</v>
      </c>
      <c r="E262" s="4">
        <f t="shared" si="75"/>
        <v>0</v>
      </c>
      <c r="F262" s="4">
        <f t="shared" si="75"/>
        <v>1130441</v>
      </c>
      <c r="G262" s="4">
        <f t="shared" si="75"/>
        <v>1775027</v>
      </c>
      <c r="H262" s="4">
        <f>H268</f>
        <v>4375063</v>
      </c>
      <c r="I262" s="4">
        <f t="shared" si="76"/>
        <v>4397354.62</v>
      </c>
      <c r="J262" s="4">
        <f t="shared" si="76"/>
        <v>5960500</v>
      </c>
      <c r="K262" s="4">
        <f t="shared" si="76"/>
        <v>5960500</v>
      </c>
      <c r="L262" s="4">
        <f t="shared" si="76"/>
        <v>5960500</v>
      </c>
    </row>
    <row r="263" spans="1:12" ht="36" customHeight="1" outlineLevel="1">
      <c r="A263" s="85"/>
      <c r="B263" s="128"/>
      <c r="C263" s="25" t="s">
        <v>5</v>
      </c>
      <c r="D263" s="4">
        <f t="shared" si="75"/>
        <v>10242600</v>
      </c>
      <c r="E263" s="4">
        <f t="shared" si="75"/>
        <v>10169751</v>
      </c>
      <c r="F263" s="4">
        <f t="shared" si="75"/>
        <v>8947305</v>
      </c>
      <c r="G263" s="4">
        <f t="shared" si="75"/>
        <v>10350089.96</v>
      </c>
      <c r="H263" s="4">
        <f>H269</f>
        <v>9517515.32</v>
      </c>
      <c r="I263" s="4">
        <f t="shared" si="76"/>
        <v>11994113.37</v>
      </c>
      <c r="J263" s="4">
        <f t="shared" si="76"/>
        <v>8465233</v>
      </c>
      <c r="K263" s="4">
        <f t="shared" si="76"/>
        <v>9277826.26</v>
      </c>
      <c r="L263" s="4">
        <f t="shared" si="76"/>
        <v>9188126.26</v>
      </c>
    </row>
    <row r="264" spans="1:12" ht="36" customHeight="1" outlineLevel="1">
      <c r="A264" s="85"/>
      <c r="B264" s="128"/>
      <c r="C264" s="51" t="s">
        <v>6</v>
      </c>
      <c r="D264" s="4">
        <f t="shared" si="75"/>
        <v>0</v>
      </c>
      <c r="E264" s="4">
        <f t="shared" si="75"/>
        <v>0</v>
      </c>
      <c r="F264" s="4">
        <f t="shared" si="75"/>
        <v>0</v>
      </c>
      <c r="G264" s="4">
        <f t="shared" si="75"/>
        <v>0</v>
      </c>
      <c r="H264" s="4">
        <f t="shared" si="75"/>
        <v>0</v>
      </c>
      <c r="I264" s="4">
        <f t="shared" si="76"/>
        <v>0</v>
      </c>
      <c r="J264" s="4">
        <f t="shared" si="76"/>
        <v>0</v>
      </c>
      <c r="K264" s="4">
        <f t="shared" si="76"/>
        <v>0</v>
      </c>
      <c r="L264" s="4">
        <f t="shared" si="76"/>
        <v>0</v>
      </c>
    </row>
    <row r="265" spans="1:12" ht="36" customHeight="1" outlineLevel="1">
      <c r="A265" s="101"/>
      <c r="B265" s="128"/>
      <c r="C265" s="22" t="s">
        <v>16</v>
      </c>
      <c r="D265" s="4">
        <f>D271</f>
        <v>0</v>
      </c>
      <c r="E265" s="4">
        <f>E271</f>
        <v>0</v>
      </c>
      <c r="F265" s="4">
        <f>F271</f>
        <v>0</v>
      </c>
      <c r="G265" s="4">
        <f>G271</f>
        <v>0</v>
      </c>
      <c r="H265" s="4">
        <f t="shared" si="75"/>
        <v>0</v>
      </c>
      <c r="I265" s="4">
        <f t="shared" si="76"/>
        <v>0</v>
      </c>
      <c r="J265" s="4">
        <f t="shared" si="76"/>
        <v>0</v>
      </c>
      <c r="K265" s="4">
        <f t="shared" si="76"/>
        <v>0</v>
      </c>
      <c r="L265" s="4">
        <f t="shared" si="76"/>
        <v>0</v>
      </c>
    </row>
    <row r="266" spans="1:12" ht="30.75" customHeight="1" outlineLevel="1">
      <c r="A266" s="79" t="s">
        <v>24</v>
      </c>
      <c r="B266" s="94"/>
      <c r="C266" s="31" t="s">
        <v>13</v>
      </c>
      <c r="D266" s="6">
        <f aca="true" t="shared" si="77" ref="D266:K266">D267+D268+D269+D270+D271</f>
        <v>10242600</v>
      </c>
      <c r="E266" s="6">
        <f t="shared" si="77"/>
        <v>10169751</v>
      </c>
      <c r="F266" s="6">
        <f t="shared" si="77"/>
        <v>10077746</v>
      </c>
      <c r="G266" s="7">
        <f t="shared" si="77"/>
        <v>12125116.96</v>
      </c>
      <c r="H266" s="6">
        <f t="shared" si="77"/>
        <v>13892578.32</v>
      </c>
      <c r="I266" s="6">
        <f t="shared" si="77"/>
        <v>16391467.989999998</v>
      </c>
      <c r="J266" s="6">
        <f t="shared" si="77"/>
        <v>14425733</v>
      </c>
      <c r="K266" s="6">
        <f t="shared" si="77"/>
        <v>15238326.26</v>
      </c>
      <c r="L266" s="6">
        <f>L267+L268+L269+L270+L271</f>
        <v>15148626.26</v>
      </c>
    </row>
    <row r="267" spans="1:12" ht="30.75" customHeight="1" outlineLevel="1">
      <c r="A267" s="79"/>
      <c r="B267" s="94"/>
      <c r="C267" s="31" t="s">
        <v>14</v>
      </c>
      <c r="D267" s="6">
        <f aca="true" t="shared" si="78" ref="D267:H271">D273+D279</f>
        <v>0</v>
      </c>
      <c r="E267" s="6">
        <f t="shared" si="78"/>
        <v>0</v>
      </c>
      <c r="F267" s="6">
        <f t="shared" si="78"/>
        <v>0</v>
      </c>
      <c r="G267" s="6">
        <f t="shared" si="78"/>
        <v>0</v>
      </c>
      <c r="H267" s="6">
        <f t="shared" si="78"/>
        <v>0</v>
      </c>
      <c r="I267" s="6">
        <f>I273+I279</f>
        <v>0</v>
      </c>
      <c r="J267" s="6">
        <f>J273+J279</f>
        <v>0</v>
      </c>
      <c r="K267" s="6">
        <f>K273+K279</f>
        <v>0</v>
      </c>
      <c r="L267" s="6">
        <f>L273+L279</f>
        <v>0</v>
      </c>
    </row>
    <row r="268" spans="1:12" ht="52.5" customHeight="1" outlineLevel="1">
      <c r="A268" s="79"/>
      <c r="B268" s="94"/>
      <c r="C268" s="31" t="s">
        <v>15</v>
      </c>
      <c r="D268" s="6">
        <f t="shared" si="78"/>
        <v>0</v>
      </c>
      <c r="E268" s="6">
        <f t="shared" si="78"/>
        <v>0</v>
      </c>
      <c r="F268" s="6">
        <f t="shared" si="78"/>
        <v>1130441</v>
      </c>
      <c r="G268" s="6">
        <f t="shared" si="78"/>
        <v>1775027</v>
      </c>
      <c r="H268" s="6">
        <f aca="true" t="shared" si="79" ref="H268:K269">H274+H280+H286</f>
        <v>4375063</v>
      </c>
      <c r="I268" s="6">
        <f t="shared" si="79"/>
        <v>4397354.62</v>
      </c>
      <c r="J268" s="6">
        <f t="shared" si="79"/>
        <v>5960500</v>
      </c>
      <c r="K268" s="6">
        <f t="shared" si="79"/>
        <v>5960500</v>
      </c>
      <c r="L268" s="6">
        <f>L274+L280+L286</f>
        <v>5960500</v>
      </c>
    </row>
    <row r="269" spans="1:12" ht="37.5" customHeight="1" outlineLevel="1">
      <c r="A269" s="79"/>
      <c r="B269" s="94"/>
      <c r="C269" s="32" t="s">
        <v>5</v>
      </c>
      <c r="D269" s="6">
        <f t="shared" si="78"/>
        <v>10242600</v>
      </c>
      <c r="E269" s="6">
        <f t="shared" si="78"/>
        <v>10169751</v>
      </c>
      <c r="F269" s="6">
        <f t="shared" si="78"/>
        <v>8947305</v>
      </c>
      <c r="G269" s="6">
        <f>G275+G281</f>
        <v>10350089.96</v>
      </c>
      <c r="H269" s="6">
        <f t="shared" si="79"/>
        <v>9517515.32</v>
      </c>
      <c r="I269" s="6">
        <f t="shared" si="79"/>
        <v>11994113.37</v>
      </c>
      <c r="J269" s="6">
        <f t="shared" si="79"/>
        <v>8465233</v>
      </c>
      <c r="K269" s="6">
        <f t="shared" si="79"/>
        <v>9277826.26</v>
      </c>
      <c r="L269" s="6">
        <f>L275+L281+L287</f>
        <v>9188126.26</v>
      </c>
    </row>
    <row r="270" spans="1:12" ht="30.75" customHeight="1" outlineLevel="1">
      <c r="A270" s="79"/>
      <c r="B270" s="94"/>
      <c r="C270" s="44" t="s">
        <v>6</v>
      </c>
      <c r="D270" s="6">
        <f t="shared" si="78"/>
        <v>0</v>
      </c>
      <c r="E270" s="6">
        <f t="shared" si="78"/>
        <v>0</v>
      </c>
      <c r="F270" s="6">
        <f t="shared" si="78"/>
        <v>0</v>
      </c>
      <c r="G270" s="6">
        <f t="shared" si="78"/>
        <v>0</v>
      </c>
      <c r="H270" s="6">
        <f t="shared" si="78"/>
        <v>0</v>
      </c>
      <c r="I270" s="6">
        <f aca="true" t="shared" si="80" ref="I270:K271">I276+I282</f>
        <v>0</v>
      </c>
      <c r="J270" s="6">
        <f t="shared" si="80"/>
        <v>0</v>
      </c>
      <c r="K270" s="6">
        <f t="shared" si="80"/>
        <v>0</v>
      </c>
      <c r="L270" s="6">
        <f>L276+L282</f>
        <v>0</v>
      </c>
    </row>
    <row r="271" spans="1:12" ht="30.75" customHeight="1" outlineLevel="1">
      <c r="A271" s="79"/>
      <c r="B271" s="94"/>
      <c r="C271" s="31" t="s">
        <v>16</v>
      </c>
      <c r="D271" s="6">
        <f>D277+D283</f>
        <v>0</v>
      </c>
      <c r="E271" s="6">
        <f>E277+E283</f>
        <v>0</v>
      </c>
      <c r="F271" s="6">
        <f>F277+F283</f>
        <v>0</v>
      </c>
      <c r="G271" s="6">
        <f>G277+G283</f>
        <v>0</v>
      </c>
      <c r="H271" s="6">
        <f t="shared" si="78"/>
        <v>0</v>
      </c>
      <c r="I271" s="6">
        <f t="shared" si="80"/>
        <v>0</v>
      </c>
      <c r="J271" s="6">
        <f t="shared" si="80"/>
        <v>0</v>
      </c>
      <c r="K271" s="6">
        <f t="shared" si="80"/>
        <v>0</v>
      </c>
      <c r="L271" s="6">
        <f>L277+L283</f>
        <v>0</v>
      </c>
    </row>
    <row r="272" spans="1:12" ht="34.5" customHeight="1" outlineLevel="1">
      <c r="A272" s="79" t="s">
        <v>42</v>
      </c>
      <c r="B272" s="94"/>
      <c r="C272" s="31" t="s">
        <v>13</v>
      </c>
      <c r="D272" s="6">
        <f aca="true" t="shared" si="81" ref="D272:I272">D273+D274+D275+D276+D277</f>
        <v>10242600</v>
      </c>
      <c r="E272" s="6">
        <f t="shared" si="81"/>
        <v>10169751</v>
      </c>
      <c r="F272" s="6">
        <f t="shared" si="81"/>
        <v>8932210</v>
      </c>
      <c r="G272" s="7">
        <f t="shared" si="81"/>
        <v>10333434.96</v>
      </c>
      <c r="H272" s="6">
        <f t="shared" si="81"/>
        <v>9066195.24</v>
      </c>
      <c r="I272" s="6">
        <f t="shared" si="81"/>
        <v>11626721.86</v>
      </c>
      <c r="J272" s="6">
        <f>J273+J274+J275+J276+J277</f>
        <v>7977106.74</v>
      </c>
      <c r="K272" s="6">
        <f>K273+K274+K275+K276+K277</f>
        <v>8789700</v>
      </c>
      <c r="L272" s="6">
        <f>L273+L274+L275+L276+L277</f>
        <v>8700000</v>
      </c>
    </row>
    <row r="273" spans="1:12" ht="34.5" customHeight="1" outlineLevel="1">
      <c r="A273" s="79"/>
      <c r="B273" s="94"/>
      <c r="C273" s="31" t="s">
        <v>14</v>
      </c>
      <c r="D273" s="6"/>
      <c r="E273" s="6"/>
      <c r="F273" s="6"/>
      <c r="G273" s="7"/>
      <c r="H273" s="6"/>
      <c r="I273" s="6"/>
      <c r="J273" s="6"/>
      <c r="K273" s="6"/>
      <c r="L273" s="6"/>
    </row>
    <row r="274" spans="1:12" ht="34.5" customHeight="1" outlineLevel="1">
      <c r="A274" s="79"/>
      <c r="B274" s="94"/>
      <c r="C274" s="31" t="s">
        <v>15</v>
      </c>
      <c r="D274" s="16"/>
      <c r="E274" s="16"/>
      <c r="F274" s="16"/>
      <c r="G274" s="8"/>
      <c r="J274" s="16"/>
      <c r="K274" s="16"/>
      <c r="L274" s="16"/>
    </row>
    <row r="275" spans="1:12" ht="34.5" customHeight="1" outlineLevel="1">
      <c r="A275" s="79"/>
      <c r="B275" s="94"/>
      <c r="C275" s="32" t="s">
        <v>5</v>
      </c>
      <c r="D275" s="6">
        <v>10242600</v>
      </c>
      <c r="E275" s="6">
        <f>10169500+93+84+74</f>
        <v>10169751</v>
      </c>
      <c r="F275" s="6">
        <f>8847200+100000+105-15095</f>
        <v>8932210</v>
      </c>
      <c r="G275" s="7">
        <v>10333434.96</v>
      </c>
      <c r="H275" s="6">
        <f>10740471-130600-3-246993.69-190152+7001.18+92000-1486.25-1538500-15542+350000</f>
        <v>9066195.24</v>
      </c>
      <c r="I275" s="6">
        <v>11626721.86</v>
      </c>
      <c r="J275" s="6">
        <f>10947106.74-2970000</f>
        <v>7977106.74</v>
      </c>
      <c r="K275" s="6">
        <f>8800000-10300</f>
        <v>8789700</v>
      </c>
      <c r="L275" s="6">
        <v>8700000</v>
      </c>
    </row>
    <row r="276" spans="1:12" ht="34.5" customHeight="1" outlineLevel="1">
      <c r="A276" s="79"/>
      <c r="B276" s="94"/>
      <c r="C276" s="44" t="s">
        <v>6</v>
      </c>
      <c r="D276" s="7"/>
      <c r="E276" s="7"/>
      <c r="F276" s="7"/>
      <c r="G276" s="7"/>
      <c r="H276" s="6"/>
      <c r="I276" s="6"/>
      <c r="J276" s="6"/>
      <c r="K276" s="6"/>
      <c r="L276" s="6"/>
    </row>
    <row r="277" spans="1:12" ht="34.5" customHeight="1" outlineLevel="1">
      <c r="A277" s="79"/>
      <c r="B277" s="94"/>
      <c r="C277" s="31" t="s">
        <v>16</v>
      </c>
      <c r="D277" s="6"/>
      <c r="E277" s="6"/>
      <c r="F277" s="6"/>
      <c r="G277" s="7"/>
      <c r="H277" s="6"/>
      <c r="I277" s="6"/>
      <c r="J277" s="6"/>
      <c r="K277" s="6"/>
      <c r="L277" s="6"/>
    </row>
    <row r="278" spans="1:12" ht="36" customHeight="1" outlineLevel="1">
      <c r="A278" s="79" t="s">
        <v>54</v>
      </c>
      <c r="B278" s="94"/>
      <c r="C278" s="31" t="s">
        <v>13</v>
      </c>
      <c r="D278" s="6">
        <f aca="true" t="shared" si="82" ref="D278:I278">D279+D280+D281+D282+D283</f>
        <v>0</v>
      </c>
      <c r="E278" s="6">
        <f t="shared" si="82"/>
        <v>0</v>
      </c>
      <c r="F278" s="6">
        <f t="shared" si="82"/>
        <v>1145536</v>
      </c>
      <c r="G278" s="7">
        <f t="shared" si="82"/>
        <v>1791682</v>
      </c>
      <c r="H278" s="6">
        <f t="shared" si="82"/>
        <v>3495895.9999999995</v>
      </c>
      <c r="I278" s="6">
        <f t="shared" si="82"/>
        <v>3685760.6</v>
      </c>
      <c r="J278" s="6">
        <f>J279+J280+J281+J282+J283</f>
        <v>5012626.26</v>
      </c>
      <c r="K278" s="6">
        <f>K279+K280+K281+K282+K283</f>
        <v>5012626.26</v>
      </c>
      <c r="L278" s="6">
        <f>L279+L280+L281+L282+L283</f>
        <v>5012626.26</v>
      </c>
    </row>
    <row r="279" spans="1:12" ht="36" customHeight="1" outlineLevel="1">
      <c r="A279" s="79"/>
      <c r="B279" s="94"/>
      <c r="C279" s="31" t="s">
        <v>14</v>
      </c>
      <c r="D279" s="6"/>
      <c r="E279" s="6"/>
      <c r="F279" s="6"/>
      <c r="G279" s="7"/>
      <c r="H279" s="6"/>
      <c r="I279" s="6"/>
      <c r="J279" s="6"/>
      <c r="K279" s="6"/>
      <c r="L279" s="6"/>
    </row>
    <row r="280" spans="1:12" ht="36" customHeight="1" outlineLevel="1">
      <c r="A280" s="79"/>
      <c r="B280" s="94"/>
      <c r="C280" s="31" t="s">
        <v>15</v>
      </c>
      <c r="D280" s="16"/>
      <c r="E280" s="16"/>
      <c r="F280" s="16">
        <v>1130441</v>
      </c>
      <c r="G280" s="8">
        <f>941340+26430+807257</f>
        <v>1775027</v>
      </c>
      <c r="H280" s="16">
        <f>1775027+147408.93+1538500</f>
        <v>3460935.9299999997</v>
      </c>
      <c r="I280" s="16">
        <v>3648903</v>
      </c>
      <c r="J280" s="16">
        <v>4962500</v>
      </c>
      <c r="K280" s="16">
        <v>4962500</v>
      </c>
      <c r="L280" s="16">
        <v>4962500</v>
      </c>
    </row>
    <row r="281" spans="1:12" ht="36" customHeight="1" outlineLevel="1">
      <c r="A281" s="79"/>
      <c r="B281" s="94"/>
      <c r="C281" s="32" t="s">
        <v>5</v>
      </c>
      <c r="D281" s="6">
        <v>0</v>
      </c>
      <c r="E281" s="6">
        <v>0</v>
      </c>
      <c r="F281" s="6">
        <v>15095</v>
      </c>
      <c r="G281" s="7">
        <v>16655</v>
      </c>
      <c r="H281" s="6">
        <f>17930+3-1.18+1486.25+15542</f>
        <v>34960.07</v>
      </c>
      <c r="I281" s="6">
        <f>36857.61-0.01</f>
        <v>36857.6</v>
      </c>
      <c r="J281" s="6">
        <v>50126.26</v>
      </c>
      <c r="K281" s="6">
        <v>50126.26</v>
      </c>
      <c r="L281" s="6">
        <v>50126.26</v>
      </c>
    </row>
    <row r="282" spans="1:12" ht="36" customHeight="1" outlineLevel="1">
      <c r="A282" s="79"/>
      <c r="B282" s="94"/>
      <c r="C282" s="44" t="s">
        <v>6</v>
      </c>
      <c r="D282" s="7"/>
      <c r="E282" s="7"/>
      <c r="F282" s="7"/>
      <c r="G282" s="7"/>
      <c r="H282" s="6"/>
      <c r="I282" s="6"/>
      <c r="J282" s="6"/>
      <c r="K282" s="6"/>
      <c r="L282" s="6"/>
    </row>
    <row r="283" spans="1:12" ht="26.25" customHeight="1" outlineLevel="1">
      <c r="A283" s="79"/>
      <c r="B283" s="94"/>
      <c r="C283" s="31" t="s">
        <v>16</v>
      </c>
      <c r="D283" s="6"/>
      <c r="E283" s="6"/>
      <c r="F283" s="6"/>
      <c r="G283" s="7"/>
      <c r="H283" s="6"/>
      <c r="I283" s="6"/>
      <c r="J283" s="6"/>
      <c r="K283" s="6"/>
      <c r="L283" s="6"/>
    </row>
    <row r="284" spans="1:12" ht="32.25" customHeight="1" outlineLevel="2">
      <c r="A284" s="91" t="s">
        <v>89</v>
      </c>
      <c r="B284" s="88"/>
      <c r="C284" s="45" t="s">
        <v>13</v>
      </c>
      <c r="D284" s="30">
        <f aca="true" t="shared" si="83" ref="D284:I284">D285+D286+D287+D288+D289</f>
        <v>0</v>
      </c>
      <c r="E284" s="30">
        <f t="shared" si="83"/>
        <v>0</v>
      </c>
      <c r="F284" s="30">
        <f t="shared" si="83"/>
        <v>0</v>
      </c>
      <c r="G284" s="5">
        <f t="shared" si="83"/>
        <v>0</v>
      </c>
      <c r="H284" s="6">
        <f t="shared" si="83"/>
        <v>1330487.08</v>
      </c>
      <c r="I284" s="6">
        <f t="shared" si="83"/>
        <v>1078985.53</v>
      </c>
      <c r="J284" s="6">
        <f>J285+J286+J287+J288+J289</f>
        <v>1436000</v>
      </c>
      <c r="K284" s="6">
        <f>K285+K286+K287+K288+K289</f>
        <v>1436000</v>
      </c>
      <c r="L284" s="6">
        <f>L285+L286+L287+L288+L289</f>
        <v>1436000</v>
      </c>
    </row>
    <row r="285" spans="1:12" ht="32.25" customHeight="1" outlineLevel="2">
      <c r="A285" s="92"/>
      <c r="B285" s="89"/>
      <c r="C285" s="45" t="s">
        <v>14</v>
      </c>
      <c r="D285" s="6"/>
      <c r="E285" s="6"/>
      <c r="F285" s="6"/>
      <c r="G285" s="7"/>
      <c r="H285" s="6"/>
      <c r="I285" s="6"/>
      <c r="J285" s="6"/>
      <c r="K285" s="6"/>
      <c r="L285" s="6"/>
    </row>
    <row r="286" spans="1:12" ht="32.25" customHeight="1" outlineLevel="2">
      <c r="A286" s="92"/>
      <c r="B286" s="89"/>
      <c r="C286" s="31" t="s">
        <v>15</v>
      </c>
      <c r="D286" s="6"/>
      <c r="E286" s="6"/>
      <c r="F286" s="6"/>
      <c r="G286" s="7">
        <v>0</v>
      </c>
      <c r="H286" s="7">
        <v>914127.07</v>
      </c>
      <c r="I286" s="7">
        <f>929895.53-181443.91</f>
        <v>748451.62</v>
      </c>
      <c r="J286" s="7">
        <v>998000</v>
      </c>
      <c r="K286" s="6">
        <v>998000</v>
      </c>
      <c r="L286" s="6">
        <v>998000</v>
      </c>
    </row>
    <row r="287" spans="1:12" ht="32.25" customHeight="1" outlineLevel="2">
      <c r="A287" s="92"/>
      <c r="B287" s="89"/>
      <c r="C287" s="32" t="s">
        <v>5</v>
      </c>
      <c r="D287" s="7"/>
      <c r="E287" s="7"/>
      <c r="F287" s="7"/>
      <c r="G287" s="7"/>
      <c r="H287" s="6">
        <v>416360.01</v>
      </c>
      <c r="I287" s="6">
        <f>465150-56854.47-77761.62</f>
        <v>330533.91000000003</v>
      </c>
      <c r="J287" s="6">
        <v>438000</v>
      </c>
      <c r="K287" s="6">
        <v>438000</v>
      </c>
      <c r="L287" s="6">
        <v>438000</v>
      </c>
    </row>
    <row r="288" spans="1:12" ht="32.25" customHeight="1" outlineLevel="2">
      <c r="A288" s="92"/>
      <c r="B288" s="89"/>
      <c r="C288" s="44" t="s">
        <v>6</v>
      </c>
      <c r="D288" s="7"/>
      <c r="E288" s="7"/>
      <c r="F288" s="7"/>
      <c r="G288" s="7"/>
      <c r="H288" s="6"/>
      <c r="I288" s="6"/>
      <c r="J288" s="6"/>
      <c r="K288" s="6"/>
      <c r="L288" s="6"/>
    </row>
    <row r="289" spans="1:12" ht="32.25" customHeight="1" outlineLevel="2">
      <c r="A289" s="93"/>
      <c r="B289" s="90"/>
      <c r="C289" s="46" t="s">
        <v>16</v>
      </c>
      <c r="D289" s="6"/>
      <c r="E289" s="6"/>
      <c r="F289" s="6"/>
      <c r="G289" s="7"/>
      <c r="H289" s="6"/>
      <c r="I289" s="6"/>
      <c r="J289" s="6"/>
      <c r="K289" s="6"/>
      <c r="L289" s="6"/>
    </row>
    <row r="290" spans="1:12" s="24" customFormat="1" ht="31.5" customHeight="1" outlineLevel="1">
      <c r="A290" s="79" t="s">
        <v>31</v>
      </c>
      <c r="B290" s="94"/>
      <c r="C290" s="31" t="s">
        <v>13</v>
      </c>
      <c r="D290" s="6">
        <f aca="true" t="shared" si="84" ref="D290:I290">D291+D292+D293+D294+D295</f>
        <v>0</v>
      </c>
      <c r="E290" s="6">
        <f t="shared" si="84"/>
        <v>0</v>
      </c>
      <c r="F290" s="6">
        <f t="shared" si="84"/>
        <v>0</v>
      </c>
      <c r="G290" s="7">
        <f t="shared" si="84"/>
        <v>0</v>
      </c>
      <c r="H290" s="6">
        <f t="shared" si="84"/>
        <v>0</v>
      </c>
      <c r="I290" s="6">
        <f t="shared" si="84"/>
        <v>0</v>
      </c>
      <c r="J290" s="6">
        <f>J291+J292+J293+J294+J295</f>
        <v>0</v>
      </c>
      <c r="K290" s="6">
        <f>K291+K292+K293+K294+K295</f>
        <v>0</v>
      </c>
      <c r="L290" s="6">
        <f>L291+L292+L293+L294+L295</f>
        <v>0</v>
      </c>
    </row>
    <row r="291" spans="1:12" s="24" customFormat="1" ht="31.5" customHeight="1" outlineLevel="1">
      <c r="A291" s="79"/>
      <c r="B291" s="94"/>
      <c r="C291" s="31" t="s">
        <v>14</v>
      </c>
      <c r="D291" s="6"/>
      <c r="E291" s="6"/>
      <c r="F291" s="6"/>
      <c r="G291" s="7"/>
      <c r="H291" s="6"/>
      <c r="I291" s="6"/>
      <c r="J291" s="6"/>
      <c r="K291" s="6"/>
      <c r="L291" s="6"/>
    </row>
    <row r="292" spans="1:12" s="24" customFormat="1" ht="31.5" customHeight="1" outlineLevel="1">
      <c r="A292" s="79"/>
      <c r="B292" s="94"/>
      <c r="C292" s="31" t="s">
        <v>15</v>
      </c>
      <c r="D292" s="16">
        <v>0</v>
      </c>
      <c r="E292" s="16">
        <v>0</v>
      </c>
      <c r="F292" s="16">
        <v>0</v>
      </c>
      <c r="G292" s="8">
        <v>0</v>
      </c>
      <c r="H292" s="16">
        <v>0</v>
      </c>
      <c r="I292" s="16">
        <v>0</v>
      </c>
      <c r="J292" s="16">
        <v>0</v>
      </c>
      <c r="K292" s="16">
        <v>0</v>
      </c>
      <c r="L292" s="16">
        <v>0</v>
      </c>
    </row>
    <row r="293" spans="1:12" s="24" customFormat="1" ht="31.5" customHeight="1" outlineLevel="1">
      <c r="A293" s="79"/>
      <c r="B293" s="94"/>
      <c r="C293" s="32" t="s">
        <v>5</v>
      </c>
      <c r="D293" s="6">
        <v>0</v>
      </c>
      <c r="E293" s="6">
        <v>0</v>
      </c>
      <c r="F293" s="6">
        <v>0</v>
      </c>
      <c r="G293" s="7">
        <v>0</v>
      </c>
      <c r="H293" s="6">
        <v>0</v>
      </c>
      <c r="I293" s="6">
        <v>0</v>
      </c>
      <c r="J293" s="6">
        <v>0</v>
      </c>
      <c r="K293" s="6">
        <v>0</v>
      </c>
      <c r="L293" s="6">
        <v>0</v>
      </c>
    </row>
    <row r="294" spans="1:12" s="24" customFormat="1" ht="31.5" customHeight="1" outlineLevel="1">
      <c r="A294" s="79"/>
      <c r="B294" s="94"/>
      <c r="C294" s="44" t="s">
        <v>6</v>
      </c>
      <c r="D294" s="7"/>
      <c r="E294" s="7"/>
      <c r="F294" s="7"/>
      <c r="G294" s="7"/>
      <c r="H294" s="6"/>
      <c r="I294" s="6"/>
      <c r="J294" s="6"/>
      <c r="K294" s="6"/>
      <c r="L294" s="6"/>
    </row>
    <row r="295" spans="1:12" s="24" customFormat="1" ht="31.5" customHeight="1" outlineLevel="1">
      <c r="A295" s="79"/>
      <c r="B295" s="94"/>
      <c r="C295" s="31" t="s">
        <v>16</v>
      </c>
      <c r="D295" s="6"/>
      <c r="E295" s="6"/>
      <c r="F295" s="6"/>
      <c r="G295" s="7"/>
      <c r="H295" s="6"/>
      <c r="I295" s="6"/>
      <c r="J295" s="6"/>
      <c r="K295" s="6"/>
      <c r="L295" s="6"/>
    </row>
    <row r="296" spans="1:12" ht="29.25" customHeight="1" outlineLevel="1">
      <c r="A296" s="101" t="s">
        <v>62</v>
      </c>
      <c r="B296" s="102"/>
      <c r="C296" s="22" t="s">
        <v>13</v>
      </c>
      <c r="D296" s="4">
        <f aca="true" t="shared" si="85" ref="D296:I296">D298+D297+D299+D300+D301</f>
        <v>550037.51</v>
      </c>
      <c r="E296" s="4">
        <f t="shared" si="85"/>
        <v>438505.27</v>
      </c>
      <c r="F296" s="4">
        <f t="shared" si="85"/>
        <v>287640</v>
      </c>
      <c r="G296" s="4">
        <f t="shared" si="85"/>
        <v>324360</v>
      </c>
      <c r="H296" s="4">
        <f>H298+H297+H299+H300+H301</f>
        <v>511424.4</v>
      </c>
      <c r="I296" s="4">
        <f t="shared" si="85"/>
        <v>688771.3200000001</v>
      </c>
      <c r="J296" s="4">
        <f>J298+J297+J299+J300+J301</f>
        <v>340500</v>
      </c>
      <c r="K296" s="4">
        <f>K298+K297+K299+K300+K301</f>
        <v>350000</v>
      </c>
      <c r="L296" s="4">
        <f>L298+L297+L299+L300+L301</f>
        <v>350000</v>
      </c>
    </row>
    <row r="297" spans="1:12" ht="30" customHeight="1" outlineLevel="1">
      <c r="A297" s="101"/>
      <c r="B297" s="102"/>
      <c r="C297" s="47" t="s">
        <v>14</v>
      </c>
      <c r="D297" s="4">
        <f>D309</f>
        <v>0</v>
      </c>
      <c r="E297" s="4">
        <f>E309</f>
        <v>0</v>
      </c>
      <c r="F297" s="4">
        <f aca="true" t="shared" si="86" ref="F297:H300">F309</f>
        <v>0</v>
      </c>
      <c r="G297" s="4">
        <f t="shared" si="86"/>
        <v>0</v>
      </c>
      <c r="H297" s="4">
        <f t="shared" si="86"/>
        <v>0</v>
      </c>
      <c r="I297" s="4">
        <f>I309</f>
        <v>0</v>
      </c>
      <c r="J297" s="4">
        <f>J309</f>
        <v>0</v>
      </c>
      <c r="K297" s="4">
        <f>K309</f>
        <v>0</v>
      </c>
      <c r="L297" s="4">
        <f>L309</f>
        <v>0</v>
      </c>
    </row>
    <row r="298" spans="1:12" ht="42.75" customHeight="1" outlineLevel="1">
      <c r="A298" s="101"/>
      <c r="B298" s="102"/>
      <c r="C298" s="22" t="s">
        <v>15</v>
      </c>
      <c r="D298" s="4">
        <f aca="true" t="shared" si="87" ref="D298:G299">D310+D304</f>
        <v>512160.51</v>
      </c>
      <c r="E298" s="4">
        <f t="shared" si="87"/>
        <v>438505.27</v>
      </c>
      <c r="F298" s="4">
        <f t="shared" si="87"/>
        <v>287640</v>
      </c>
      <c r="G298" s="4">
        <f t="shared" si="87"/>
        <v>324360</v>
      </c>
      <c r="H298" s="4">
        <f aca="true" t="shared" si="88" ref="H298:L299">H310+H304</f>
        <v>472363</v>
      </c>
      <c r="I298" s="4">
        <f t="shared" si="88"/>
        <v>421400.32</v>
      </c>
      <c r="J298" s="4">
        <f t="shared" si="88"/>
        <v>340000</v>
      </c>
      <c r="K298" s="4">
        <f t="shared" si="88"/>
        <v>350000</v>
      </c>
      <c r="L298" s="4">
        <f t="shared" si="88"/>
        <v>350000</v>
      </c>
    </row>
    <row r="299" spans="1:12" ht="42" customHeight="1" outlineLevel="1">
      <c r="A299" s="101"/>
      <c r="B299" s="102"/>
      <c r="C299" s="25" t="s">
        <v>5</v>
      </c>
      <c r="D299" s="4">
        <f t="shared" si="87"/>
        <v>37877</v>
      </c>
      <c r="E299" s="4">
        <f t="shared" si="87"/>
        <v>0</v>
      </c>
      <c r="F299" s="4">
        <f t="shared" si="87"/>
        <v>0</v>
      </c>
      <c r="G299" s="4">
        <f t="shared" si="87"/>
        <v>0</v>
      </c>
      <c r="H299" s="4">
        <f t="shared" si="88"/>
        <v>39061.4</v>
      </c>
      <c r="I299" s="4">
        <f t="shared" si="88"/>
        <v>267371</v>
      </c>
      <c r="J299" s="4">
        <f t="shared" si="88"/>
        <v>500</v>
      </c>
      <c r="K299" s="4">
        <f t="shared" si="88"/>
        <v>0</v>
      </c>
      <c r="L299" s="4">
        <f t="shared" si="88"/>
        <v>0</v>
      </c>
    </row>
    <row r="300" spans="1:12" ht="33" customHeight="1" outlineLevel="1">
      <c r="A300" s="101"/>
      <c r="B300" s="102"/>
      <c r="C300" s="51" t="s">
        <v>6</v>
      </c>
      <c r="D300" s="4">
        <f>D312</f>
        <v>0</v>
      </c>
      <c r="E300" s="4">
        <f>E312</f>
        <v>0</v>
      </c>
      <c r="F300" s="4">
        <f t="shared" si="86"/>
        <v>0</v>
      </c>
      <c r="G300" s="4">
        <f t="shared" si="86"/>
        <v>0</v>
      </c>
      <c r="H300" s="4">
        <f t="shared" si="86"/>
        <v>0</v>
      </c>
      <c r="I300" s="4">
        <f aca="true" t="shared" si="89" ref="I300:L301">I312</f>
        <v>0</v>
      </c>
      <c r="J300" s="4">
        <f t="shared" si="89"/>
        <v>0</v>
      </c>
      <c r="K300" s="4">
        <f t="shared" si="89"/>
        <v>0</v>
      </c>
      <c r="L300" s="4">
        <f t="shared" si="89"/>
        <v>0</v>
      </c>
    </row>
    <row r="301" spans="1:12" ht="27.75" customHeight="1" outlineLevel="1">
      <c r="A301" s="101"/>
      <c r="B301" s="102"/>
      <c r="C301" s="22" t="s">
        <v>16</v>
      </c>
      <c r="D301" s="4">
        <f>D313</f>
        <v>0</v>
      </c>
      <c r="E301" s="4">
        <f>E313</f>
        <v>0</v>
      </c>
      <c r="F301" s="4">
        <f>F313</f>
        <v>0</v>
      </c>
      <c r="G301" s="4">
        <f>G313</f>
        <v>0</v>
      </c>
      <c r="H301" s="4">
        <f>H313</f>
        <v>0</v>
      </c>
      <c r="I301" s="4">
        <f t="shared" si="89"/>
        <v>0</v>
      </c>
      <c r="J301" s="4">
        <f t="shared" si="89"/>
        <v>0</v>
      </c>
      <c r="K301" s="4">
        <f t="shared" si="89"/>
        <v>0</v>
      </c>
      <c r="L301" s="4">
        <f t="shared" si="89"/>
        <v>0</v>
      </c>
    </row>
    <row r="302" spans="1:12" ht="42" customHeight="1" outlineLevel="1">
      <c r="A302" s="72" t="s">
        <v>25</v>
      </c>
      <c r="B302" s="94"/>
      <c r="C302" s="31" t="s">
        <v>13</v>
      </c>
      <c r="D302" s="6">
        <f aca="true" t="shared" si="90" ref="D302:I302">D303+D304+D305+D306+D307</f>
        <v>37877</v>
      </c>
      <c r="E302" s="6">
        <f t="shared" si="90"/>
        <v>0</v>
      </c>
      <c r="F302" s="6">
        <f t="shared" si="90"/>
        <v>0</v>
      </c>
      <c r="G302" s="7">
        <f t="shared" si="90"/>
        <v>0</v>
      </c>
      <c r="H302" s="6">
        <f>H303+H305+H304+H306+H307</f>
        <v>195306</v>
      </c>
      <c r="I302" s="6">
        <f t="shared" si="90"/>
        <v>404171</v>
      </c>
      <c r="J302" s="6">
        <f>J303+J304+J305+J306+J307</f>
        <v>500</v>
      </c>
      <c r="K302" s="6">
        <f>K303+K304+K305+K306+K307</f>
        <v>0</v>
      </c>
      <c r="L302" s="6">
        <f>L303+L304+L305+L306+L307</f>
        <v>0</v>
      </c>
    </row>
    <row r="303" spans="1:12" ht="27.75" customHeight="1" outlineLevel="1">
      <c r="A303" s="80"/>
      <c r="B303" s="94"/>
      <c r="C303" s="31" t="s">
        <v>14</v>
      </c>
      <c r="D303" s="6"/>
      <c r="E303" s="6"/>
      <c r="F303" s="6"/>
      <c r="G303" s="7"/>
      <c r="H303" s="6"/>
      <c r="I303" s="6"/>
      <c r="J303" s="6"/>
      <c r="K303" s="6"/>
      <c r="L303" s="6"/>
    </row>
    <row r="304" spans="1:12" ht="42" customHeight="1" outlineLevel="1">
      <c r="A304" s="80"/>
      <c r="B304" s="94"/>
      <c r="C304" s="31" t="s">
        <v>15</v>
      </c>
      <c r="D304" s="6">
        <v>0</v>
      </c>
      <c r="E304" s="6">
        <v>0</v>
      </c>
      <c r="F304" s="6">
        <v>0</v>
      </c>
      <c r="G304" s="7">
        <v>0</v>
      </c>
      <c r="H304" s="16">
        <v>156244.6</v>
      </c>
      <c r="I304" s="6">
        <v>136800</v>
      </c>
      <c r="J304" s="6">
        <v>0</v>
      </c>
      <c r="K304" s="6">
        <v>0</v>
      </c>
      <c r="L304" s="6">
        <v>0</v>
      </c>
    </row>
    <row r="305" spans="1:12" ht="42" customHeight="1" outlineLevel="1">
      <c r="A305" s="80"/>
      <c r="B305" s="94"/>
      <c r="C305" s="32" t="s">
        <v>5</v>
      </c>
      <c r="D305" s="7">
        <v>37877</v>
      </c>
      <c r="E305" s="7">
        <v>0</v>
      </c>
      <c r="F305" s="7">
        <v>0</v>
      </c>
      <c r="G305" s="7">
        <f>1000000-1000000</f>
        <v>0</v>
      </c>
      <c r="H305" s="6">
        <v>39061.4</v>
      </c>
      <c r="I305" s="6">
        <f>15200+252171</f>
        <v>267371</v>
      </c>
      <c r="J305" s="6">
        <v>500</v>
      </c>
      <c r="K305" s="6">
        <v>0</v>
      </c>
      <c r="L305" s="6">
        <v>0</v>
      </c>
    </row>
    <row r="306" spans="1:12" ht="42" customHeight="1" outlineLevel="1">
      <c r="A306" s="80"/>
      <c r="B306" s="94"/>
      <c r="C306" s="49" t="s">
        <v>6</v>
      </c>
      <c r="D306" s="7"/>
      <c r="E306" s="7"/>
      <c r="F306" s="7"/>
      <c r="G306" s="7"/>
      <c r="H306" s="6"/>
      <c r="I306" s="6"/>
      <c r="J306" s="6"/>
      <c r="K306" s="6"/>
      <c r="L306" s="6"/>
    </row>
    <row r="307" spans="1:12" ht="45.75" customHeight="1" outlineLevel="1">
      <c r="A307" s="81"/>
      <c r="B307" s="94"/>
      <c r="C307" s="31" t="s">
        <v>16</v>
      </c>
      <c r="D307" s="6"/>
      <c r="E307" s="6"/>
      <c r="F307" s="6"/>
      <c r="G307" s="7"/>
      <c r="H307" s="6"/>
      <c r="I307" s="6"/>
      <c r="J307" s="6"/>
      <c r="K307" s="6"/>
      <c r="L307" s="6"/>
    </row>
    <row r="308" spans="1:12" s="24" customFormat="1" ht="36" customHeight="1" outlineLevel="1">
      <c r="A308" s="112" t="s">
        <v>52</v>
      </c>
      <c r="B308" s="94"/>
      <c r="C308" s="31" t="s">
        <v>13</v>
      </c>
      <c r="D308" s="6">
        <f aca="true" t="shared" si="91" ref="D308:I308">D309+D310+D311+D312+D313</f>
        <v>512160.51</v>
      </c>
      <c r="E308" s="6">
        <f t="shared" si="91"/>
        <v>438505.27</v>
      </c>
      <c r="F308" s="6">
        <f t="shared" si="91"/>
        <v>287640</v>
      </c>
      <c r="G308" s="7">
        <f t="shared" si="91"/>
        <v>324360</v>
      </c>
      <c r="H308" s="6">
        <f t="shared" si="91"/>
        <v>316118.4</v>
      </c>
      <c r="I308" s="6">
        <f t="shared" si="91"/>
        <v>284600.32</v>
      </c>
      <c r="J308" s="6">
        <f>J309+J310+J311+J312+J313</f>
        <v>340000</v>
      </c>
      <c r="K308" s="6">
        <f>K309+K310+K311+K312+K313</f>
        <v>350000</v>
      </c>
      <c r="L308" s="6">
        <f>L309+L310+L311+L312+L313</f>
        <v>350000</v>
      </c>
    </row>
    <row r="309" spans="1:12" s="24" customFormat="1" ht="36" customHeight="1" outlineLevel="1">
      <c r="A309" s="112"/>
      <c r="B309" s="94"/>
      <c r="C309" s="31" t="s">
        <v>14</v>
      </c>
      <c r="D309" s="6"/>
      <c r="E309" s="6"/>
      <c r="F309" s="6"/>
      <c r="G309" s="7"/>
      <c r="H309" s="6"/>
      <c r="I309" s="6"/>
      <c r="J309" s="6"/>
      <c r="K309" s="6"/>
      <c r="L309" s="6"/>
    </row>
    <row r="310" spans="1:12" s="24" customFormat="1" ht="36" customHeight="1" outlineLevel="1">
      <c r="A310" s="112"/>
      <c r="B310" s="94"/>
      <c r="C310" s="31" t="s">
        <v>15</v>
      </c>
      <c r="D310" s="6">
        <v>512160.51</v>
      </c>
      <c r="E310" s="6">
        <v>438505.27</v>
      </c>
      <c r="F310" s="6">
        <v>287640</v>
      </c>
      <c r="G310" s="6">
        <v>324360</v>
      </c>
      <c r="H310" s="6">
        <v>316118.4</v>
      </c>
      <c r="I310" s="6">
        <f>290000-5399.68</f>
        <v>284600.32</v>
      </c>
      <c r="J310" s="6">
        <v>340000</v>
      </c>
      <c r="K310" s="6">
        <v>350000</v>
      </c>
      <c r="L310" s="6">
        <v>350000</v>
      </c>
    </row>
    <row r="311" spans="1:12" s="24" customFormat="1" ht="36" customHeight="1" outlineLevel="1">
      <c r="A311" s="112"/>
      <c r="B311" s="94"/>
      <c r="C311" s="32" t="s">
        <v>5</v>
      </c>
      <c r="D311" s="7"/>
      <c r="E311" s="7"/>
      <c r="F311" s="7"/>
      <c r="G311" s="7"/>
      <c r="H311" s="6"/>
      <c r="I311" s="6"/>
      <c r="J311" s="6"/>
      <c r="K311" s="6"/>
      <c r="L311" s="6"/>
    </row>
    <row r="312" spans="1:12" s="24" customFormat="1" ht="36" customHeight="1" outlineLevel="1">
      <c r="A312" s="112"/>
      <c r="B312" s="94"/>
      <c r="C312" s="49" t="s">
        <v>6</v>
      </c>
      <c r="D312" s="7"/>
      <c r="E312" s="7"/>
      <c r="F312" s="7"/>
      <c r="G312" s="7"/>
      <c r="H312" s="6"/>
      <c r="I312" s="6"/>
      <c r="J312" s="6"/>
      <c r="K312" s="6"/>
      <c r="L312" s="6"/>
    </row>
    <row r="313" spans="1:12" s="24" customFormat="1" ht="36" customHeight="1" outlineLevel="1">
      <c r="A313" s="112"/>
      <c r="B313" s="94"/>
      <c r="C313" s="31" t="s">
        <v>16</v>
      </c>
      <c r="D313" s="6"/>
      <c r="E313" s="6"/>
      <c r="F313" s="6"/>
      <c r="G313" s="7"/>
      <c r="H313" s="6"/>
      <c r="I313" s="6"/>
      <c r="J313" s="6"/>
      <c r="K313" s="6"/>
      <c r="L313" s="6"/>
    </row>
    <row r="314" spans="1:12" ht="24.75" customHeight="1" outlineLevel="1">
      <c r="A314" s="113" t="s">
        <v>83</v>
      </c>
      <c r="B314" s="102"/>
      <c r="C314" s="22" t="s">
        <v>13</v>
      </c>
      <c r="D314" s="4">
        <f aca="true" t="shared" si="92" ref="D314:L314">D320</f>
        <v>0</v>
      </c>
      <c r="E314" s="4">
        <f t="shared" si="92"/>
        <v>0</v>
      </c>
      <c r="F314" s="4">
        <f t="shared" si="92"/>
        <v>0</v>
      </c>
      <c r="G314" s="4">
        <f t="shared" si="92"/>
        <v>0</v>
      </c>
      <c r="H314" s="4">
        <f t="shared" si="92"/>
        <v>0</v>
      </c>
      <c r="I314" s="4">
        <f t="shared" si="92"/>
        <v>0</v>
      </c>
      <c r="J314" s="4">
        <f t="shared" si="92"/>
        <v>0</v>
      </c>
      <c r="K314" s="4">
        <f t="shared" si="92"/>
        <v>10300</v>
      </c>
      <c r="L314" s="4">
        <f t="shared" si="92"/>
        <v>0</v>
      </c>
    </row>
    <row r="315" spans="1:12" ht="18" customHeight="1" outlineLevel="1">
      <c r="A315" s="114"/>
      <c r="B315" s="102"/>
      <c r="C315" s="22" t="s">
        <v>14</v>
      </c>
      <c r="D315" s="4">
        <f aca="true" t="shared" si="93" ref="D315:L315">D321</f>
        <v>0</v>
      </c>
      <c r="E315" s="4">
        <f t="shared" si="93"/>
        <v>0</v>
      </c>
      <c r="F315" s="4">
        <f t="shared" si="93"/>
        <v>0</v>
      </c>
      <c r="G315" s="4">
        <f t="shared" si="93"/>
        <v>0</v>
      </c>
      <c r="H315" s="4">
        <f t="shared" si="93"/>
        <v>0</v>
      </c>
      <c r="I315" s="4">
        <f t="shared" si="93"/>
        <v>0</v>
      </c>
      <c r="J315" s="4">
        <f t="shared" si="93"/>
        <v>0</v>
      </c>
      <c r="K315" s="4">
        <f t="shared" si="93"/>
        <v>0</v>
      </c>
      <c r="L315" s="4">
        <f t="shared" si="93"/>
        <v>0</v>
      </c>
    </row>
    <row r="316" spans="1:12" ht="36" customHeight="1" outlineLevel="1">
      <c r="A316" s="114"/>
      <c r="B316" s="102"/>
      <c r="C316" s="22" t="s">
        <v>15</v>
      </c>
      <c r="D316" s="4">
        <f aca="true" t="shared" si="94" ref="D316:L316">D322</f>
        <v>0</v>
      </c>
      <c r="E316" s="4">
        <f t="shared" si="94"/>
        <v>0</v>
      </c>
      <c r="F316" s="4">
        <f t="shared" si="94"/>
        <v>0</v>
      </c>
      <c r="G316" s="4">
        <f t="shared" si="94"/>
        <v>0</v>
      </c>
      <c r="H316" s="4">
        <f t="shared" si="94"/>
        <v>0</v>
      </c>
      <c r="I316" s="4">
        <f t="shared" si="94"/>
        <v>0</v>
      </c>
      <c r="J316" s="4">
        <f t="shared" si="94"/>
        <v>0</v>
      </c>
      <c r="K316" s="4">
        <f t="shared" si="94"/>
        <v>0</v>
      </c>
      <c r="L316" s="4">
        <f t="shared" si="94"/>
        <v>0</v>
      </c>
    </row>
    <row r="317" spans="1:12" ht="36" customHeight="1" outlineLevel="1">
      <c r="A317" s="114"/>
      <c r="B317" s="102"/>
      <c r="C317" s="25" t="s">
        <v>5</v>
      </c>
      <c r="D317" s="4">
        <f aca="true" t="shared" si="95" ref="D317:L317">D323</f>
        <v>0</v>
      </c>
      <c r="E317" s="4">
        <f t="shared" si="95"/>
        <v>0</v>
      </c>
      <c r="F317" s="4">
        <f t="shared" si="95"/>
        <v>0</v>
      </c>
      <c r="G317" s="4">
        <f t="shared" si="95"/>
        <v>0</v>
      </c>
      <c r="H317" s="4">
        <f t="shared" si="95"/>
        <v>0</v>
      </c>
      <c r="I317" s="4">
        <f t="shared" si="95"/>
        <v>0</v>
      </c>
      <c r="J317" s="4">
        <f t="shared" si="95"/>
        <v>0</v>
      </c>
      <c r="K317" s="4">
        <f t="shared" si="95"/>
        <v>10300</v>
      </c>
      <c r="L317" s="4">
        <f t="shared" si="95"/>
        <v>0</v>
      </c>
    </row>
    <row r="318" spans="1:12" ht="36" customHeight="1" outlineLevel="1">
      <c r="A318" s="114"/>
      <c r="B318" s="102"/>
      <c r="C318" s="66" t="s">
        <v>6</v>
      </c>
      <c r="D318" s="4">
        <f aca="true" t="shared" si="96" ref="D318:L318">D324</f>
        <v>0</v>
      </c>
      <c r="E318" s="4">
        <f t="shared" si="96"/>
        <v>0</v>
      </c>
      <c r="F318" s="4">
        <f t="shared" si="96"/>
        <v>0</v>
      </c>
      <c r="G318" s="4">
        <f t="shared" si="96"/>
        <v>0</v>
      </c>
      <c r="H318" s="4">
        <f t="shared" si="96"/>
        <v>0</v>
      </c>
      <c r="I318" s="4">
        <f t="shared" si="96"/>
        <v>0</v>
      </c>
      <c r="J318" s="4">
        <f t="shared" si="96"/>
        <v>0</v>
      </c>
      <c r="K318" s="4">
        <f t="shared" si="96"/>
        <v>0</v>
      </c>
      <c r="L318" s="4">
        <f t="shared" si="96"/>
        <v>0</v>
      </c>
    </row>
    <row r="319" spans="1:12" ht="36" customHeight="1" outlineLevel="1">
      <c r="A319" s="114"/>
      <c r="B319" s="102"/>
      <c r="C319" s="22" t="s">
        <v>16</v>
      </c>
      <c r="D319" s="4">
        <f aca="true" t="shared" si="97" ref="D319:L319">D325</f>
        <v>0</v>
      </c>
      <c r="E319" s="4">
        <f t="shared" si="97"/>
        <v>0</v>
      </c>
      <c r="F319" s="4">
        <f t="shared" si="97"/>
        <v>0</v>
      </c>
      <c r="G319" s="4">
        <f t="shared" si="97"/>
        <v>0</v>
      </c>
      <c r="H319" s="4">
        <f t="shared" si="97"/>
        <v>0</v>
      </c>
      <c r="I319" s="4">
        <f t="shared" si="97"/>
        <v>0</v>
      </c>
      <c r="J319" s="4">
        <f t="shared" si="97"/>
        <v>0</v>
      </c>
      <c r="K319" s="4">
        <f t="shared" si="97"/>
        <v>0</v>
      </c>
      <c r="L319" s="4">
        <f t="shared" si="97"/>
        <v>0</v>
      </c>
    </row>
    <row r="320" spans="1:12" s="27" customFormat="1" ht="36.75" customHeight="1">
      <c r="A320" s="103" t="s">
        <v>85</v>
      </c>
      <c r="B320" s="94"/>
      <c r="C320" s="31" t="s">
        <v>13</v>
      </c>
      <c r="D320" s="6">
        <f aca="true" t="shared" si="98" ref="D320:I320">D321+D322+D323+D324+D325</f>
        <v>0</v>
      </c>
      <c r="E320" s="6">
        <f t="shared" si="98"/>
        <v>0</v>
      </c>
      <c r="F320" s="6">
        <f t="shared" si="98"/>
        <v>0</v>
      </c>
      <c r="G320" s="7">
        <f t="shared" si="98"/>
        <v>0</v>
      </c>
      <c r="H320" s="6">
        <f t="shared" si="98"/>
        <v>0</v>
      </c>
      <c r="I320" s="6">
        <f t="shared" si="98"/>
        <v>0</v>
      </c>
      <c r="J320" s="6">
        <f>J321+J322+J323+J324+J325</f>
        <v>0</v>
      </c>
      <c r="K320" s="6">
        <f>K321+K322+K323+K324+K325</f>
        <v>10300</v>
      </c>
      <c r="L320" s="6">
        <f>L321+L322+L323+L324+L325</f>
        <v>0</v>
      </c>
    </row>
    <row r="321" spans="1:12" s="27" customFormat="1" ht="30.75" customHeight="1">
      <c r="A321" s="104"/>
      <c r="B321" s="94"/>
      <c r="C321" s="31" t="s">
        <v>14</v>
      </c>
      <c r="D321" s="6"/>
      <c r="E321" s="6"/>
      <c r="F321" s="6"/>
      <c r="G321" s="7"/>
      <c r="H321" s="6"/>
      <c r="I321" s="6"/>
      <c r="J321" s="6"/>
      <c r="K321" s="6"/>
      <c r="L321" s="6"/>
    </row>
    <row r="322" spans="1:12" s="27" customFormat="1" ht="33" customHeight="1">
      <c r="A322" s="104"/>
      <c r="B322" s="94"/>
      <c r="C322" s="31" t="s">
        <v>15</v>
      </c>
      <c r="D322" s="6"/>
      <c r="E322" s="6"/>
      <c r="F322" s="6"/>
      <c r="G322" s="7"/>
      <c r="H322" s="6"/>
      <c r="I322" s="6"/>
      <c r="J322" s="6"/>
      <c r="K322" s="6"/>
      <c r="L322" s="6"/>
    </row>
    <row r="323" spans="1:12" s="27" customFormat="1" ht="35.25" customHeight="1">
      <c r="A323" s="104"/>
      <c r="B323" s="94"/>
      <c r="C323" s="32" t="s">
        <v>5</v>
      </c>
      <c r="D323" s="7">
        <v>0</v>
      </c>
      <c r="E323" s="7">
        <v>0</v>
      </c>
      <c r="F323" s="7">
        <v>0</v>
      </c>
      <c r="G323" s="7">
        <v>0</v>
      </c>
      <c r="H323" s="6">
        <v>0</v>
      </c>
      <c r="I323" s="6">
        <v>0</v>
      </c>
      <c r="J323" s="6"/>
      <c r="K323" s="6">
        <v>10300</v>
      </c>
      <c r="L323" s="6">
        <v>0</v>
      </c>
    </row>
    <row r="324" spans="1:12" s="27" customFormat="1" ht="39" customHeight="1">
      <c r="A324" s="104"/>
      <c r="B324" s="94"/>
      <c r="C324" s="65" t="s">
        <v>6</v>
      </c>
      <c r="D324" s="7"/>
      <c r="E324" s="7"/>
      <c r="F324" s="7"/>
      <c r="G324" s="7"/>
      <c r="H324" s="6"/>
      <c r="I324" s="6"/>
      <c r="J324" s="6"/>
      <c r="K324" s="6"/>
      <c r="L324" s="6"/>
    </row>
    <row r="325" spans="1:12" s="27" customFormat="1" ht="25.5" customHeight="1">
      <c r="A325" s="104"/>
      <c r="B325" s="94"/>
      <c r="C325" s="31" t="s">
        <v>16</v>
      </c>
      <c r="D325" s="6"/>
      <c r="E325" s="6"/>
      <c r="F325" s="6"/>
      <c r="G325" s="7"/>
      <c r="H325" s="6"/>
      <c r="I325" s="6"/>
      <c r="J325" s="6"/>
      <c r="K325" s="6"/>
      <c r="L325" s="6"/>
    </row>
    <row r="326" spans="1:12" s="24" customFormat="1" ht="33.75" customHeight="1" outlineLevel="1">
      <c r="A326" s="87" t="s">
        <v>26</v>
      </c>
      <c r="B326" s="105" t="s">
        <v>20</v>
      </c>
      <c r="C326" s="28" t="s">
        <v>13</v>
      </c>
      <c r="D326" s="10">
        <f aca="true" t="shared" si="99" ref="D326:D331">D332</f>
        <v>1363357.3</v>
      </c>
      <c r="E326" s="10">
        <f aca="true" t="shared" si="100" ref="E326:E331">E332</f>
        <v>1433017.01</v>
      </c>
      <c r="F326" s="10">
        <f aca="true" t="shared" si="101" ref="F326:F331">F332</f>
        <v>1485542.18</v>
      </c>
      <c r="G326" s="10">
        <f aca="true" t="shared" si="102" ref="G326:L326">G332</f>
        <v>1787921.27</v>
      </c>
      <c r="H326" s="10">
        <f t="shared" si="102"/>
        <v>1800140.37</v>
      </c>
      <c r="I326" s="10">
        <f t="shared" si="102"/>
        <v>1397253.95</v>
      </c>
      <c r="J326" s="10">
        <f t="shared" si="102"/>
        <v>1731166.67</v>
      </c>
      <c r="K326" s="10">
        <f t="shared" si="102"/>
        <v>780166.6699999999</v>
      </c>
      <c r="L326" s="10">
        <f t="shared" si="102"/>
        <v>780166.6699999999</v>
      </c>
    </row>
    <row r="327" spans="1:12" s="24" customFormat="1" ht="33.75" customHeight="1" outlineLevel="1">
      <c r="A327" s="87"/>
      <c r="B327" s="105"/>
      <c r="C327" s="28" t="s">
        <v>14</v>
      </c>
      <c r="D327" s="10">
        <f t="shared" si="99"/>
        <v>0</v>
      </c>
      <c r="E327" s="10">
        <f t="shared" si="100"/>
        <v>0</v>
      </c>
      <c r="F327" s="10">
        <f t="shared" si="101"/>
        <v>0</v>
      </c>
      <c r="G327" s="10">
        <f aca="true" t="shared" si="103" ref="G327:I331">G333</f>
        <v>0</v>
      </c>
      <c r="H327" s="10">
        <f t="shared" si="103"/>
        <v>0</v>
      </c>
      <c r="I327" s="10">
        <f t="shared" si="103"/>
        <v>0</v>
      </c>
      <c r="J327" s="10">
        <f aca="true" t="shared" si="104" ref="J327:L331">J333</f>
        <v>0</v>
      </c>
      <c r="K327" s="10">
        <f t="shared" si="104"/>
        <v>0</v>
      </c>
      <c r="L327" s="10">
        <f t="shared" si="104"/>
        <v>0</v>
      </c>
    </row>
    <row r="328" spans="1:12" s="24" customFormat="1" ht="45.75" customHeight="1" outlineLevel="1">
      <c r="A328" s="87"/>
      <c r="B328" s="105"/>
      <c r="C328" s="28" t="s">
        <v>15</v>
      </c>
      <c r="D328" s="10">
        <f t="shared" si="99"/>
        <v>568600</v>
      </c>
      <c r="E328" s="10">
        <f t="shared" si="100"/>
        <v>502400</v>
      </c>
      <c r="F328" s="10">
        <f t="shared" si="101"/>
        <v>504300</v>
      </c>
      <c r="G328" s="10">
        <f t="shared" si="103"/>
        <v>461000</v>
      </c>
      <c r="H328" s="10">
        <f t="shared" si="103"/>
        <v>463800</v>
      </c>
      <c r="I328" s="10">
        <f t="shared" si="103"/>
        <v>368844.82999999996</v>
      </c>
      <c r="J328" s="10">
        <f t="shared" si="104"/>
        <v>468100</v>
      </c>
      <c r="K328" s="10">
        <f t="shared" si="104"/>
        <v>468100</v>
      </c>
      <c r="L328" s="10">
        <f t="shared" si="104"/>
        <v>468100</v>
      </c>
    </row>
    <row r="329" spans="1:12" s="24" customFormat="1" ht="45.75" customHeight="1" outlineLevel="1">
      <c r="A329" s="87"/>
      <c r="B329" s="105"/>
      <c r="C329" s="29" t="s">
        <v>5</v>
      </c>
      <c r="D329" s="10">
        <f t="shared" si="99"/>
        <v>794757.3</v>
      </c>
      <c r="E329" s="10">
        <f t="shared" si="100"/>
        <v>930617.01</v>
      </c>
      <c r="F329" s="10">
        <f t="shared" si="101"/>
        <v>981242.1799999999</v>
      </c>
      <c r="G329" s="10">
        <f t="shared" si="103"/>
        <v>1326921.27</v>
      </c>
      <c r="H329" s="10">
        <f t="shared" si="103"/>
        <v>1336340.37</v>
      </c>
      <c r="I329" s="10">
        <f t="shared" si="103"/>
        <v>1028409.12</v>
      </c>
      <c r="J329" s="10">
        <f t="shared" si="104"/>
        <v>1263066.67</v>
      </c>
      <c r="K329" s="10">
        <f t="shared" si="104"/>
        <v>312066.67</v>
      </c>
      <c r="L329" s="10">
        <f t="shared" si="104"/>
        <v>312066.67</v>
      </c>
    </row>
    <row r="330" spans="1:12" s="24" customFormat="1" ht="45.75" customHeight="1" outlineLevel="1">
      <c r="A330" s="87"/>
      <c r="B330" s="105"/>
      <c r="C330" s="50" t="s">
        <v>6</v>
      </c>
      <c r="D330" s="10">
        <f t="shared" si="99"/>
        <v>0</v>
      </c>
      <c r="E330" s="10">
        <f t="shared" si="100"/>
        <v>0</v>
      </c>
      <c r="F330" s="10">
        <f t="shared" si="101"/>
        <v>0</v>
      </c>
      <c r="G330" s="10">
        <f t="shared" si="103"/>
        <v>0</v>
      </c>
      <c r="H330" s="10">
        <f t="shared" si="103"/>
        <v>0</v>
      </c>
      <c r="I330" s="10">
        <f t="shared" si="103"/>
        <v>0</v>
      </c>
      <c r="J330" s="10">
        <f t="shared" si="104"/>
        <v>0</v>
      </c>
      <c r="K330" s="10">
        <f t="shared" si="104"/>
        <v>0</v>
      </c>
      <c r="L330" s="10">
        <f t="shared" si="104"/>
        <v>0</v>
      </c>
    </row>
    <row r="331" spans="1:12" s="24" customFormat="1" ht="28.5" customHeight="1" outlineLevel="1">
      <c r="A331" s="87"/>
      <c r="B331" s="105"/>
      <c r="C331" s="28" t="s">
        <v>16</v>
      </c>
      <c r="D331" s="10">
        <f t="shared" si="99"/>
        <v>0</v>
      </c>
      <c r="E331" s="10">
        <f t="shared" si="100"/>
        <v>0</v>
      </c>
      <c r="F331" s="10">
        <f t="shared" si="101"/>
        <v>0</v>
      </c>
      <c r="G331" s="10">
        <f t="shared" si="103"/>
        <v>0</v>
      </c>
      <c r="H331" s="10">
        <f t="shared" si="103"/>
        <v>0</v>
      </c>
      <c r="I331" s="10">
        <f t="shared" si="103"/>
        <v>0</v>
      </c>
      <c r="J331" s="10">
        <f t="shared" si="104"/>
        <v>0</v>
      </c>
      <c r="K331" s="10">
        <f t="shared" si="104"/>
        <v>0</v>
      </c>
      <c r="L331" s="10">
        <f t="shared" si="104"/>
        <v>0</v>
      </c>
    </row>
    <row r="332" spans="1:12" ht="25.5" customHeight="1" outlineLevel="1">
      <c r="A332" s="101" t="s">
        <v>27</v>
      </c>
      <c r="B332" s="102"/>
      <c r="C332" s="22" t="s">
        <v>13</v>
      </c>
      <c r="D332" s="4">
        <f aca="true" t="shared" si="105" ref="D332:G337">D338+D350+D356</f>
        <v>1363357.3</v>
      </c>
      <c r="E332" s="4">
        <f t="shared" si="105"/>
        <v>1433017.01</v>
      </c>
      <c r="F332" s="4">
        <f t="shared" si="105"/>
        <v>1485542.18</v>
      </c>
      <c r="G332" s="4">
        <f t="shared" si="105"/>
        <v>1787921.27</v>
      </c>
      <c r="H332" s="4">
        <f>H338+H344</f>
        <v>1800140.37</v>
      </c>
      <c r="I332" s="4">
        <f>I338+I344</f>
        <v>1397253.95</v>
      </c>
      <c r="J332" s="4">
        <f>J338+J344</f>
        <v>1731166.67</v>
      </c>
      <c r="K332" s="4">
        <f>K338+K344</f>
        <v>780166.6699999999</v>
      </c>
      <c r="L332" s="4">
        <f>L338+L344</f>
        <v>780166.6699999999</v>
      </c>
    </row>
    <row r="333" spans="1:12" ht="24.75" customHeight="1" outlineLevel="1">
      <c r="A333" s="101"/>
      <c r="B333" s="102"/>
      <c r="C333" s="22" t="s">
        <v>14</v>
      </c>
      <c r="D333" s="4">
        <f t="shared" si="105"/>
        <v>0</v>
      </c>
      <c r="E333" s="4">
        <f t="shared" si="105"/>
        <v>0</v>
      </c>
      <c r="F333" s="4">
        <f t="shared" si="105"/>
        <v>0</v>
      </c>
      <c r="G333" s="4">
        <f t="shared" si="105"/>
        <v>0</v>
      </c>
      <c r="H333" s="4">
        <f aca="true" t="shared" si="106" ref="H333:I337">H339+H345</f>
        <v>0</v>
      </c>
      <c r="I333" s="4">
        <f t="shared" si="106"/>
        <v>0</v>
      </c>
      <c r="J333" s="4">
        <f aca="true" t="shared" si="107" ref="J333:L337">J339+J345</f>
        <v>0</v>
      </c>
      <c r="K333" s="4">
        <f t="shared" si="107"/>
        <v>0</v>
      </c>
      <c r="L333" s="4">
        <f t="shared" si="107"/>
        <v>0</v>
      </c>
    </row>
    <row r="334" spans="1:12" ht="36.75" customHeight="1" outlineLevel="1">
      <c r="A334" s="101"/>
      <c r="B334" s="102"/>
      <c r="C334" s="47" t="s">
        <v>15</v>
      </c>
      <c r="D334" s="4">
        <f t="shared" si="105"/>
        <v>568600</v>
      </c>
      <c r="E334" s="4">
        <f t="shared" si="105"/>
        <v>502400</v>
      </c>
      <c r="F334" s="4">
        <f t="shared" si="105"/>
        <v>504300</v>
      </c>
      <c r="G334" s="4">
        <f t="shared" si="105"/>
        <v>461000</v>
      </c>
      <c r="H334" s="4">
        <f t="shared" si="106"/>
        <v>463800</v>
      </c>
      <c r="I334" s="4">
        <f t="shared" si="106"/>
        <v>368844.82999999996</v>
      </c>
      <c r="J334" s="4">
        <f t="shared" si="107"/>
        <v>468100</v>
      </c>
      <c r="K334" s="4">
        <f t="shared" si="107"/>
        <v>468100</v>
      </c>
      <c r="L334" s="4">
        <f t="shared" si="107"/>
        <v>468100</v>
      </c>
    </row>
    <row r="335" spans="1:12" ht="36.75" customHeight="1" outlineLevel="1">
      <c r="A335" s="101"/>
      <c r="B335" s="102"/>
      <c r="C335" s="25" t="s">
        <v>5</v>
      </c>
      <c r="D335" s="4">
        <f t="shared" si="105"/>
        <v>794757.3</v>
      </c>
      <c r="E335" s="4">
        <f t="shared" si="105"/>
        <v>930617.01</v>
      </c>
      <c r="F335" s="4">
        <f t="shared" si="105"/>
        <v>981242.1799999999</v>
      </c>
      <c r="G335" s="4">
        <f t="shared" si="105"/>
        <v>1326921.27</v>
      </c>
      <c r="H335" s="4">
        <f t="shared" si="106"/>
        <v>1336340.37</v>
      </c>
      <c r="I335" s="4">
        <f t="shared" si="106"/>
        <v>1028409.12</v>
      </c>
      <c r="J335" s="4">
        <f t="shared" si="107"/>
        <v>1263066.67</v>
      </c>
      <c r="K335" s="4">
        <f t="shared" si="107"/>
        <v>312066.67</v>
      </c>
      <c r="L335" s="4">
        <f t="shared" si="107"/>
        <v>312066.67</v>
      </c>
    </row>
    <row r="336" spans="1:12" ht="39" customHeight="1" outlineLevel="1">
      <c r="A336" s="101"/>
      <c r="B336" s="102"/>
      <c r="C336" s="51" t="s">
        <v>6</v>
      </c>
      <c r="D336" s="4">
        <f t="shared" si="105"/>
        <v>0</v>
      </c>
      <c r="E336" s="4">
        <f t="shared" si="105"/>
        <v>0</v>
      </c>
      <c r="F336" s="4">
        <f t="shared" si="105"/>
        <v>0</v>
      </c>
      <c r="G336" s="4">
        <f t="shared" si="105"/>
        <v>0</v>
      </c>
      <c r="H336" s="4">
        <f t="shared" si="106"/>
        <v>0</v>
      </c>
      <c r="I336" s="4">
        <f t="shared" si="106"/>
        <v>0</v>
      </c>
      <c r="J336" s="4">
        <f t="shared" si="107"/>
        <v>0</v>
      </c>
      <c r="K336" s="4">
        <f t="shared" si="107"/>
        <v>0</v>
      </c>
      <c r="L336" s="4">
        <f t="shared" si="107"/>
        <v>0</v>
      </c>
    </row>
    <row r="337" spans="1:12" ht="19.5" customHeight="1" outlineLevel="1">
      <c r="A337" s="101"/>
      <c r="B337" s="102"/>
      <c r="C337" s="22" t="s">
        <v>16</v>
      </c>
      <c r="D337" s="4">
        <f t="shared" si="105"/>
        <v>0</v>
      </c>
      <c r="E337" s="4">
        <f t="shared" si="105"/>
        <v>0</v>
      </c>
      <c r="F337" s="4">
        <f t="shared" si="105"/>
        <v>0</v>
      </c>
      <c r="G337" s="4">
        <f t="shared" si="105"/>
        <v>0</v>
      </c>
      <c r="H337" s="4">
        <f t="shared" si="106"/>
        <v>0</v>
      </c>
      <c r="I337" s="4">
        <f t="shared" si="106"/>
        <v>0</v>
      </c>
      <c r="J337" s="4">
        <f t="shared" si="107"/>
        <v>0</v>
      </c>
      <c r="K337" s="4">
        <f t="shared" si="107"/>
        <v>0</v>
      </c>
      <c r="L337" s="4">
        <f t="shared" si="107"/>
        <v>0</v>
      </c>
    </row>
    <row r="338" spans="1:12" ht="29.25" customHeight="1" outlineLevel="1">
      <c r="A338" s="72" t="s">
        <v>28</v>
      </c>
      <c r="B338" s="94"/>
      <c r="C338" s="31" t="s">
        <v>13</v>
      </c>
      <c r="D338" s="6">
        <f aca="true" t="shared" si="108" ref="D338:I338">D339+D340+D341+D342+D343</f>
        <v>316537.35</v>
      </c>
      <c r="E338" s="6">
        <f t="shared" si="108"/>
        <v>322456.56</v>
      </c>
      <c r="F338" s="6">
        <f t="shared" si="108"/>
        <v>421733.47</v>
      </c>
      <c r="G338" s="7">
        <f t="shared" si="108"/>
        <v>527868.73</v>
      </c>
      <c r="H338" s="6">
        <f t="shared" si="108"/>
        <v>584492.73</v>
      </c>
      <c r="I338" s="6">
        <f t="shared" si="108"/>
        <v>608528.57</v>
      </c>
      <c r="J338" s="6">
        <f>J339+J340+J341+J342+J343</f>
        <v>631000</v>
      </c>
      <c r="K338" s="6">
        <f>K339+K340+K341+K342+K343</f>
        <v>0</v>
      </c>
      <c r="L338" s="6">
        <f>L339+L340+L341+L342+L343</f>
        <v>0</v>
      </c>
    </row>
    <row r="339" spans="1:12" ht="30" customHeight="1" outlineLevel="1">
      <c r="A339" s="80"/>
      <c r="B339" s="94"/>
      <c r="C339" s="31" t="s">
        <v>14</v>
      </c>
      <c r="D339" s="6"/>
      <c r="E339" s="6"/>
      <c r="F339" s="6"/>
      <c r="G339" s="7"/>
      <c r="H339" s="6"/>
      <c r="I339" s="6"/>
      <c r="J339" s="6"/>
      <c r="K339" s="6"/>
      <c r="L339" s="6"/>
    </row>
    <row r="340" spans="1:12" ht="44.25" customHeight="1" outlineLevel="1">
      <c r="A340" s="80"/>
      <c r="B340" s="94"/>
      <c r="C340" s="31" t="s">
        <v>15</v>
      </c>
      <c r="D340" s="6"/>
      <c r="E340" s="6"/>
      <c r="F340" s="6"/>
      <c r="G340" s="7"/>
      <c r="H340" s="6"/>
      <c r="I340" s="6"/>
      <c r="J340" s="6"/>
      <c r="K340" s="6"/>
      <c r="L340" s="6"/>
    </row>
    <row r="341" spans="1:12" ht="36.75" customHeight="1" outlineLevel="1">
      <c r="A341" s="80"/>
      <c r="B341" s="94"/>
      <c r="C341" s="32" t="s">
        <v>5</v>
      </c>
      <c r="D341" s="7">
        <v>316537.35</v>
      </c>
      <c r="E341" s="7">
        <v>322456.56</v>
      </c>
      <c r="F341" s="7">
        <v>421733.47</v>
      </c>
      <c r="G341" s="7">
        <v>527868.73</v>
      </c>
      <c r="H341" s="6">
        <v>584492.73</v>
      </c>
      <c r="I341" s="6">
        <f>631000-22471.43</f>
        <v>608528.57</v>
      </c>
      <c r="J341" s="6">
        <v>631000</v>
      </c>
      <c r="K341" s="6">
        <v>0</v>
      </c>
      <c r="L341" s="6">
        <v>0</v>
      </c>
    </row>
    <row r="342" spans="1:12" ht="39.75" customHeight="1" outlineLevel="1">
      <c r="A342" s="80"/>
      <c r="B342" s="94"/>
      <c r="C342" s="44" t="s">
        <v>6</v>
      </c>
      <c r="D342" s="7"/>
      <c r="E342" s="7"/>
      <c r="F342" s="7"/>
      <c r="G342" s="7"/>
      <c r="H342" s="6"/>
      <c r="I342" s="6"/>
      <c r="J342" s="6"/>
      <c r="K342" s="6"/>
      <c r="L342" s="6"/>
    </row>
    <row r="343" spans="1:12" ht="27.75" customHeight="1" outlineLevel="1">
      <c r="A343" s="80"/>
      <c r="B343" s="94"/>
      <c r="C343" s="31" t="s">
        <v>16</v>
      </c>
      <c r="D343" s="6"/>
      <c r="E343" s="6"/>
      <c r="F343" s="6"/>
      <c r="G343" s="7"/>
      <c r="H343" s="6"/>
      <c r="I343" s="6"/>
      <c r="J343" s="6"/>
      <c r="K343" s="6"/>
      <c r="L343" s="6"/>
    </row>
    <row r="344" spans="1:12" ht="29.25" customHeight="1" outlineLevel="1">
      <c r="A344" s="72" t="s">
        <v>71</v>
      </c>
      <c r="B344" s="94"/>
      <c r="C344" s="31" t="s">
        <v>13</v>
      </c>
      <c r="D344" s="6">
        <f>D345+D346+D347+D348+D349</f>
        <v>568600</v>
      </c>
      <c r="E344" s="6">
        <f>E345+E346+E347+E348+E349</f>
        <v>1110560.45</v>
      </c>
      <c r="F344" s="6">
        <f>F345+F346+F347+F348+F349</f>
        <v>1063808.71</v>
      </c>
      <c r="G344" s="7">
        <f>G345+G346+G347+G348+G349</f>
        <v>1260052.54</v>
      </c>
      <c r="H344" s="6">
        <f>H346+H347</f>
        <v>1215647.6400000001</v>
      </c>
      <c r="I344" s="6">
        <f>I345+I346+I347+I348+I349</f>
        <v>788725.38</v>
      </c>
      <c r="J344" s="6">
        <f>J345+J346+J347+J348+J349</f>
        <v>1100166.67</v>
      </c>
      <c r="K344" s="6">
        <f>K345+K346+K347+K348+K349</f>
        <v>780166.6699999999</v>
      </c>
      <c r="L344" s="6">
        <f>L345+L346+L347+L348+L349</f>
        <v>780166.6699999999</v>
      </c>
    </row>
    <row r="345" spans="1:12" ht="30" customHeight="1" outlineLevel="1">
      <c r="A345" s="80"/>
      <c r="B345" s="94"/>
      <c r="C345" s="31" t="s">
        <v>14</v>
      </c>
      <c r="D345" s="6"/>
      <c r="E345" s="6"/>
      <c r="F345" s="6"/>
      <c r="G345" s="7"/>
      <c r="H345" s="6">
        <f>H351+H357</f>
        <v>0</v>
      </c>
      <c r="I345" s="6">
        <f>I351+I357</f>
        <v>0</v>
      </c>
      <c r="J345" s="6">
        <f>J351+J357</f>
        <v>0</v>
      </c>
      <c r="K345" s="6">
        <f>K351+K357</f>
        <v>0</v>
      </c>
      <c r="L345" s="6">
        <f>L351+L357</f>
        <v>0</v>
      </c>
    </row>
    <row r="346" spans="1:12" ht="44.25" customHeight="1" outlineLevel="1">
      <c r="A346" s="80"/>
      <c r="B346" s="94"/>
      <c r="C346" s="31" t="s">
        <v>15</v>
      </c>
      <c r="D346" s="6">
        <v>568600</v>
      </c>
      <c r="E346" s="6">
        <v>502400</v>
      </c>
      <c r="F346" s="6">
        <f>502600+1700</f>
        <v>504300</v>
      </c>
      <c r="G346" s="7">
        <f>496600+964400-1000000</f>
        <v>461000</v>
      </c>
      <c r="H346" s="6">
        <f aca="true" t="shared" si="109" ref="H346:K349">H352+H358</f>
        <v>463800</v>
      </c>
      <c r="I346" s="6">
        <f t="shared" si="109"/>
        <v>368844.82999999996</v>
      </c>
      <c r="J346" s="6">
        <f t="shared" si="109"/>
        <v>468100</v>
      </c>
      <c r="K346" s="6">
        <f t="shared" si="109"/>
        <v>468100</v>
      </c>
      <c r="L346" s="6">
        <f>L352+L358</f>
        <v>468100</v>
      </c>
    </row>
    <row r="347" spans="1:12" ht="36.75" customHeight="1" outlineLevel="1">
      <c r="A347" s="80"/>
      <c r="B347" s="94"/>
      <c r="C347" s="32" t="s">
        <v>5</v>
      </c>
      <c r="D347" s="7"/>
      <c r="E347" s="7">
        <v>608160.45</v>
      </c>
      <c r="F347" s="7">
        <v>559508.71</v>
      </c>
      <c r="G347" s="7">
        <v>799052.54</v>
      </c>
      <c r="H347" s="6">
        <f t="shared" si="109"/>
        <v>751847.64</v>
      </c>
      <c r="I347" s="6">
        <f t="shared" si="109"/>
        <v>419880.55000000005</v>
      </c>
      <c r="J347" s="6">
        <f t="shared" si="109"/>
        <v>632066.6699999999</v>
      </c>
      <c r="K347" s="6">
        <f t="shared" si="109"/>
        <v>312066.67</v>
      </c>
      <c r="L347" s="6">
        <f>L353+L359</f>
        <v>312066.67</v>
      </c>
    </row>
    <row r="348" spans="1:12" ht="39.75" customHeight="1" outlineLevel="1">
      <c r="A348" s="80"/>
      <c r="B348" s="94"/>
      <c r="C348" s="49" t="s">
        <v>6</v>
      </c>
      <c r="D348" s="7"/>
      <c r="E348" s="7"/>
      <c r="F348" s="7"/>
      <c r="G348" s="7"/>
      <c r="H348" s="6">
        <f t="shared" si="109"/>
        <v>0</v>
      </c>
      <c r="I348" s="6">
        <f t="shared" si="109"/>
        <v>0</v>
      </c>
      <c r="J348" s="6">
        <f t="shared" si="109"/>
        <v>0</v>
      </c>
      <c r="K348" s="6">
        <f t="shared" si="109"/>
        <v>0</v>
      </c>
      <c r="L348" s="6">
        <f>L354+L360</f>
        <v>0</v>
      </c>
    </row>
    <row r="349" spans="1:12" ht="27.75" customHeight="1" outlineLevel="1">
      <c r="A349" s="80"/>
      <c r="B349" s="94"/>
      <c r="C349" s="31" t="s">
        <v>16</v>
      </c>
      <c r="D349" s="6"/>
      <c r="E349" s="6"/>
      <c r="F349" s="6"/>
      <c r="G349" s="7"/>
      <c r="H349" s="6">
        <f t="shared" si="109"/>
        <v>0</v>
      </c>
      <c r="I349" s="6">
        <f t="shared" si="109"/>
        <v>0</v>
      </c>
      <c r="J349" s="6">
        <f t="shared" si="109"/>
        <v>0</v>
      </c>
      <c r="K349" s="6">
        <f t="shared" si="109"/>
        <v>0</v>
      </c>
      <c r="L349" s="6">
        <f>L355+L361</f>
        <v>0</v>
      </c>
    </row>
    <row r="350" spans="1:12" ht="29.25" customHeight="1" outlineLevel="1">
      <c r="A350" s="72" t="s">
        <v>69</v>
      </c>
      <c r="B350" s="94"/>
      <c r="C350" s="31" t="s">
        <v>13</v>
      </c>
      <c r="D350" s="6">
        <f aca="true" t="shared" si="110" ref="D350:I350">D351+D352+D353+D354+D355</f>
        <v>568600</v>
      </c>
      <c r="E350" s="6">
        <f t="shared" si="110"/>
        <v>1110560.45</v>
      </c>
      <c r="F350" s="6">
        <f t="shared" si="110"/>
        <v>1063808.71</v>
      </c>
      <c r="G350" s="7">
        <f>G351+G352+G353+G354+G355</f>
        <v>1260052.54</v>
      </c>
      <c r="H350" s="6">
        <f>H351+H352+H353+H354+H355</f>
        <v>773000</v>
      </c>
      <c r="I350" s="6">
        <f t="shared" si="110"/>
        <v>614741.38</v>
      </c>
      <c r="J350" s="6">
        <f>J351+J352+J353+J354+J355</f>
        <v>780166.6699999999</v>
      </c>
      <c r="K350" s="6">
        <f>K351+K352+K353+K354+K355</f>
        <v>780166.6699999999</v>
      </c>
      <c r="L350" s="6">
        <f>L351+L352+L353+L354+L355</f>
        <v>780166.6699999999</v>
      </c>
    </row>
    <row r="351" spans="1:12" ht="30" customHeight="1" outlineLevel="1">
      <c r="A351" s="80"/>
      <c r="B351" s="94"/>
      <c r="C351" s="31" t="s">
        <v>14</v>
      </c>
      <c r="D351" s="6"/>
      <c r="E351" s="6"/>
      <c r="F351" s="6"/>
      <c r="G351" s="7"/>
      <c r="H351" s="6"/>
      <c r="I351" s="6"/>
      <c r="J351" s="6"/>
      <c r="K351" s="6"/>
      <c r="L351" s="6"/>
    </row>
    <row r="352" spans="1:12" ht="48" customHeight="1" outlineLevel="1">
      <c r="A352" s="80"/>
      <c r="B352" s="94"/>
      <c r="C352" s="31" t="s">
        <v>15</v>
      </c>
      <c r="D352" s="6">
        <v>568600</v>
      </c>
      <c r="E352" s="6">
        <v>502400</v>
      </c>
      <c r="F352" s="6">
        <f>502600+1700</f>
        <v>504300</v>
      </c>
      <c r="G352" s="7">
        <f>496600+964400-1000000</f>
        <v>461000</v>
      </c>
      <c r="H352" s="6">
        <v>463800</v>
      </c>
      <c r="I352" s="6">
        <f>586100-217255.17</f>
        <v>368844.82999999996</v>
      </c>
      <c r="J352" s="6">
        <f>475800-7700</f>
        <v>468100</v>
      </c>
      <c r="K352" s="6">
        <f>475800-7700</f>
        <v>468100</v>
      </c>
      <c r="L352" s="6">
        <f>475800-7700</f>
        <v>468100</v>
      </c>
    </row>
    <row r="353" spans="1:12" ht="42.75" customHeight="1" outlineLevel="1">
      <c r="A353" s="80"/>
      <c r="B353" s="94"/>
      <c r="C353" s="32" t="s">
        <v>5</v>
      </c>
      <c r="D353" s="7"/>
      <c r="E353" s="7">
        <v>608160.45</v>
      </c>
      <c r="F353" s="7">
        <v>559508.71</v>
      </c>
      <c r="G353" s="7">
        <v>799052.54</v>
      </c>
      <c r="H353" s="6">
        <f>490000+270000-450800</f>
        <v>309200</v>
      </c>
      <c r="I353" s="6">
        <f>390733.33+0.01-144836.79</f>
        <v>245896.55000000002</v>
      </c>
      <c r="J353" s="6">
        <f>317200-5133.33</f>
        <v>312066.67</v>
      </c>
      <c r="K353" s="6">
        <f>317200-5133.33</f>
        <v>312066.67</v>
      </c>
      <c r="L353" s="6">
        <f>317200-5133.33</f>
        <v>312066.67</v>
      </c>
    </row>
    <row r="354" spans="1:12" ht="39.75" customHeight="1" outlineLevel="1">
      <c r="A354" s="80"/>
      <c r="B354" s="94"/>
      <c r="C354" s="49" t="s">
        <v>6</v>
      </c>
      <c r="D354" s="7"/>
      <c r="E354" s="7"/>
      <c r="F354" s="7"/>
      <c r="G354" s="7"/>
      <c r="H354" s="6"/>
      <c r="I354" s="6"/>
      <c r="J354" s="6"/>
      <c r="K354" s="6"/>
      <c r="L354" s="6"/>
    </row>
    <row r="355" spans="1:12" ht="27.75" customHeight="1" outlineLevel="1">
      <c r="A355" s="80"/>
      <c r="B355" s="94"/>
      <c r="C355" s="31" t="s">
        <v>16</v>
      </c>
      <c r="D355" s="6"/>
      <c r="E355" s="6"/>
      <c r="F355" s="6"/>
      <c r="G355" s="7"/>
      <c r="H355" s="6"/>
      <c r="I355" s="6"/>
      <c r="J355" s="6"/>
      <c r="K355" s="6"/>
      <c r="L355" s="6"/>
    </row>
    <row r="356" spans="1:12" s="27" customFormat="1" ht="25.5" customHeight="1">
      <c r="A356" s="72" t="s">
        <v>70</v>
      </c>
      <c r="B356" s="94"/>
      <c r="C356" s="31" t="s">
        <v>13</v>
      </c>
      <c r="D356" s="6">
        <f aca="true" t="shared" si="111" ref="D356:I356">D357+D358+D359+D360+D361</f>
        <v>478219.95</v>
      </c>
      <c r="E356" s="6">
        <f t="shared" si="111"/>
        <v>0</v>
      </c>
      <c r="F356" s="6">
        <f t="shared" si="111"/>
        <v>0</v>
      </c>
      <c r="G356" s="7">
        <f t="shared" si="111"/>
        <v>0</v>
      </c>
      <c r="H356" s="6">
        <f t="shared" si="111"/>
        <v>442647.64</v>
      </c>
      <c r="I356" s="6">
        <f t="shared" si="111"/>
        <v>173984</v>
      </c>
      <c r="J356" s="6">
        <f>J357+J358+J359+J360+J361</f>
        <v>320000</v>
      </c>
      <c r="K356" s="6">
        <f>K357+K358+K359+K360+K361</f>
        <v>0</v>
      </c>
      <c r="L356" s="6">
        <f>L357+L358+L359+L360+L361</f>
        <v>0</v>
      </c>
    </row>
    <row r="357" spans="1:12" s="27" customFormat="1" ht="25.5" customHeight="1">
      <c r="A357" s="80"/>
      <c r="B357" s="94"/>
      <c r="C357" s="31" t="s">
        <v>14</v>
      </c>
      <c r="D357" s="6"/>
      <c r="E357" s="6"/>
      <c r="F357" s="6"/>
      <c r="G357" s="7"/>
      <c r="H357" s="6"/>
      <c r="I357" s="6"/>
      <c r="J357" s="6"/>
      <c r="K357" s="6"/>
      <c r="L357" s="6"/>
    </row>
    <row r="358" spans="1:12" s="27" customFormat="1" ht="40.5" customHeight="1">
      <c r="A358" s="80"/>
      <c r="B358" s="94"/>
      <c r="C358" s="31" t="s">
        <v>15</v>
      </c>
      <c r="D358" s="6"/>
      <c r="E358" s="6">
        <v>0</v>
      </c>
      <c r="F358" s="6">
        <v>0</v>
      </c>
      <c r="G358" s="7">
        <v>0</v>
      </c>
      <c r="H358" s="6">
        <v>0</v>
      </c>
      <c r="I358" s="6">
        <v>0</v>
      </c>
      <c r="J358" s="6">
        <v>0</v>
      </c>
      <c r="K358" s="6">
        <v>0</v>
      </c>
      <c r="L358" s="6">
        <v>0</v>
      </c>
    </row>
    <row r="359" spans="1:12" s="27" customFormat="1" ht="35.25" customHeight="1">
      <c r="A359" s="80"/>
      <c r="B359" s="94"/>
      <c r="C359" s="32" t="s">
        <v>5</v>
      </c>
      <c r="D359" s="7">
        <v>478219.95</v>
      </c>
      <c r="E359" s="7">
        <v>0</v>
      </c>
      <c r="F359" s="7">
        <v>0</v>
      </c>
      <c r="G359" s="7">
        <v>0</v>
      </c>
      <c r="H359" s="6">
        <v>442647.64</v>
      </c>
      <c r="I359" s="6">
        <f>270000-96016</f>
        <v>173984</v>
      </c>
      <c r="J359" s="6">
        <f>270000+50000</f>
        <v>320000</v>
      </c>
      <c r="K359" s="6">
        <v>0</v>
      </c>
      <c r="L359" s="6">
        <v>0</v>
      </c>
    </row>
    <row r="360" spans="1:12" s="27" customFormat="1" ht="35.25" customHeight="1">
      <c r="A360" s="80"/>
      <c r="B360" s="94"/>
      <c r="C360" s="49" t="s">
        <v>6</v>
      </c>
      <c r="D360" s="7"/>
      <c r="E360" s="7"/>
      <c r="F360" s="7"/>
      <c r="G360" s="7"/>
      <c r="H360" s="6"/>
      <c r="I360" s="6"/>
      <c r="J360" s="6"/>
      <c r="K360" s="6"/>
      <c r="L360" s="6"/>
    </row>
    <row r="361" spans="1:12" s="27" customFormat="1" ht="28.5" customHeight="1">
      <c r="A361" s="80"/>
      <c r="B361" s="94"/>
      <c r="C361" s="31" t="s">
        <v>16</v>
      </c>
      <c r="D361" s="6"/>
      <c r="E361" s="6"/>
      <c r="F361" s="6"/>
      <c r="G361" s="7"/>
      <c r="H361" s="6"/>
      <c r="I361" s="6"/>
      <c r="J361" s="6"/>
      <c r="K361" s="6"/>
      <c r="L361" s="6"/>
    </row>
    <row r="362" spans="1:12" s="24" customFormat="1" ht="31.5" customHeight="1" outlineLevel="2">
      <c r="A362" s="87" t="s">
        <v>18</v>
      </c>
      <c r="B362" s="105" t="s">
        <v>9</v>
      </c>
      <c r="C362" s="28" t="s">
        <v>13</v>
      </c>
      <c r="D362" s="10">
        <f aca="true" t="shared" si="112" ref="D362:D367">D368</f>
        <v>17751623.37</v>
      </c>
      <c r="E362" s="10">
        <f aca="true" t="shared" si="113" ref="E362:E367">E368</f>
        <v>18856838.96</v>
      </c>
      <c r="F362" s="10">
        <f aca="true" t="shared" si="114" ref="F362:I367">F368</f>
        <v>18590280.59</v>
      </c>
      <c r="G362" s="10">
        <f t="shared" si="114"/>
        <v>20721640.94</v>
      </c>
      <c r="H362" s="10">
        <f t="shared" si="114"/>
        <v>20824757.56</v>
      </c>
      <c r="I362" s="10">
        <f t="shared" si="114"/>
        <v>22093150.730000004</v>
      </c>
      <c r="J362" s="10">
        <f aca="true" t="shared" si="115" ref="J362:L367">J368</f>
        <v>25005257.279999997</v>
      </c>
      <c r="K362" s="10">
        <f t="shared" si="115"/>
        <v>19369961.009999998</v>
      </c>
      <c r="L362" s="10">
        <f t="shared" si="115"/>
        <v>18873010.5</v>
      </c>
    </row>
    <row r="363" spans="1:12" s="24" customFormat="1" ht="31.5" customHeight="1" outlineLevel="2">
      <c r="A363" s="87"/>
      <c r="B363" s="105"/>
      <c r="C363" s="28" t="s">
        <v>14</v>
      </c>
      <c r="D363" s="10">
        <f t="shared" si="112"/>
        <v>0</v>
      </c>
      <c r="E363" s="10">
        <f t="shared" si="113"/>
        <v>0</v>
      </c>
      <c r="F363" s="10">
        <f t="shared" si="114"/>
        <v>0</v>
      </c>
      <c r="G363" s="10">
        <f t="shared" si="114"/>
        <v>0</v>
      </c>
      <c r="H363" s="10">
        <f t="shared" si="114"/>
        <v>0</v>
      </c>
      <c r="I363" s="10">
        <f t="shared" si="114"/>
        <v>0</v>
      </c>
      <c r="J363" s="10">
        <f t="shared" si="115"/>
        <v>0</v>
      </c>
      <c r="K363" s="10">
        <f t="shared" si="115"/>
        <v>0</v>
      </c>
      <c r="L363" s="10">
        <f t="shared" si="115"/>
        <v>0</v>
      </c>
    </row>
    <row r="364" spans="1:12" s="24" customFormat="1" ht="44.25" customHeight="1" outlineLevel="2">
      <c r="A364" s="87"/>
      <c r="B364" s="105"/>
      <c r="C364" s="28" t="s">
        <v>15</v>
      </c>
      <c r="D364" s="10">
        <f t="shared" si="112"/>
        <v>9164</v>
      </c>
      <c r="E364" s="10">
        <f t="shared" si="113"/>
        <v>8274</v>
      </c>
      <c r="F364" s="10">
        <f t="shared" si="114"/>
        <v>5541.78</v>
      </c>
      <c r="G364" s="10">
        <f t="shared" si="114"/>
        <v>5200</v>
      </c>
      <c r="H364" s="10">
        <f t="shared" si="114"/>
        <v>4940</v>
      </c>
      <c r="I364" s="10">
        <f t="shared" si="114"/>
        <v>581814.98</v>
      </c>
      <c r="J364" s="10">
        <f t="shared" si="115"/>
        <v>706930</v>
      </c>
      <c r="K364" s="10">
        <f t="shared" si="115"/>
        <v>707160</v>
      </c>
      <c r="L364" s="10">
        <f t="shared" si="115"/>
        <v>707160</v>
      </c>
    </row>
    <row r="365" spans="1:12" s="24" customFormat="1" ht="36" customHeight="1" outlineLevel="2">
      <c r="A365" s="87"/>
      <c r="B365" s="105"/>
      <c r="C365" s="36" t="s">
        <v>5</v>
      </c>
      <c r="D365" s="10">
        <f t="shared" si="112"/>
        <v>17742459.37</v>
      </c>
      <c r="E365" s="10">
        <f t="shared" si="113"/>
        <v>18848564.96</v>
      </c>
      <c r="F365" s="10">
        <f t="shared" si="114"/>
        <v>18584738.81</v>
      </c>
      <c r="G365" s="10">
        <f>G371</f>
        <v>20716440.94</v>
      </c>
      <c r="H365" s="10">
        <f t="shared" si="114"/>
        <v>20819817.56</v>
      </c>
      <c r="I365" s="10">
        <f t="shared" si="114"/>
        <v>21511335.750000004</v>
      </c>
      <c r="J365" s="10">
        <f t="shared" si="115"/>
        <v>24298327.279999997</v>
      </c>
      <c r="K365" s="10">
        <f t="shared" si="115"/>
        <v>18662801.009999998</v>
      </c>
      <c r="L365" s="10">
        <f t="shared" si="115"/>
        <v>18165850.5</v>
      </c>
    </row>
    <row r="366" spans="1:12" s="24" customFormat="1" ht="38.25" customHeight="1" outlineLevel="2">
      <c r="A366" s="87"/>
      <c r="B366" s="105"/>
      <c r="C366" s="48" t="s">
        <v>6</v>
      </c>
      <c r="D366" s="10">
        <f t="shared" si="112"/>
        <v>0</v>
      </c>
      <c r="E366" s="10">
        <f t="shared" si="113"/>
        <v>0</v>
      </c>
      <c r="F366" s="10">
        <f t="shared" si="114"/>
        <v>0</v>
      </c>
      <c r="G366" s="10">
        <f t="shared" si="114"/>
        <v>0</v>
      </c>
      <c r="H366" s="10">
        <f t="shared" si="114"/>
        <v>0</v>
      </c>
      <c r="I366" s="10">
        <f t="shared" si="114"/>
        <v>0</v>
      </c>
      <c r="J366" s="10">
        <f t="shared" si="115"/>
        <v>0</v>
      </c>
      <c r="K366" s="10">
        <f t="shared" si="115"/>
        <v>0</v>
      </c>
      <c r="L366" s="10">
        <f t="shared" si="115"/>
        <v>0</v>
      </c>
    </row>
    <row r="367" spans="1:12" s="24" customFormat="1" ht="27" customHeight="1" outlineLevel="2">
      <c r="A367" s="87"/>
      <c r="B367" s="105"/>
      <c r="C367" s="28" t="s">
        <v>16</v>
      </c>
      <c r="D367" s="10">
        <f t="shared" si="112"/>
        <v>0</v>
      </c>
      <c r="E367" s="10">
        <f t="shared" si="113"/>
        <v>0</v>
      </c>
      <c r="F367" s="10">
        <f t="shared" si="114"/>
        <v>0</v>
      </c>
      <c r="G367" s="10">
        <f t="shared" si="114"/>
        <v>0</v>
      </c>
      <c r="H367" s="10">
        <f t="shared" si="114"/>
        <v>0</v>
      </c>
      <c r="I367" s="10">
        <f t="shared" si="114"/>
        <v>0</v>
      </c>
      <c r="J367" s="10">
        <f t="shared" si="115"/>
        <v>0</v>
      </c>
      <c r="K367" s="10">
        <f t="shared" si="115"/>
        <v>0</v>
      </c>
      <c r="L367" s="10">
        <f t="shared" si="115"/>
        <v>0</v>
      </c>
    </row>
    <row r="368" spans="1:12" ht="29.25" customHeight="1" outlineLevel="2">
      <c r="A368" s="84" t="s">
        <v>29</v>
      </c>
      <c r="B368" s="125"/>
      <c r="C368" s="22" t="s">
        <v>13</v>
      </c>
      <c r="D368" s="4">
        <f>D374+D392</f>
        <v>17751623.37</v>
      </c>
      <c r="E368" s="4">
        <f>E374+E392</f>
        <v>18856838.96</v>
      </c>
      <c r="F368" s="4">
        <f>F374+F392</f>
        <v>18590280.59</v>
      </c>
      <c r="G368" s="4">
        <f>G374+G392</f>
        <v>20721640.94</v>
      </c>
      <c r="H368" s="4">
        <f>H374+H392</f>
        <v>20824757.56</v>
      </c>
      <c r="I368" s="4">
        <f aca="true" t="shared" si="116" ref="I368:L373">I374+I392+I398</f>
        <v>22093150.730000004</v>
      </c>
      <c r="J368" s="4">
        <f t="shared" si="116"/>
        <v>25005257.279999997</v>
      </c>
      <c r="K368" s="4">
        <f t="shared" si="116"/>
        <v>19369961.009999998</v>
      </c>
      <c r="L368" s="4">
        <f t="shared" si="116"/>
        <v>18873010.5</v>
      </c>
    </row>
    <row r="369" spans="1:12" ht="29.25" customHeight="1" outlineLevel="2">
      <c r="A369" s="85"/>
      <c r="B369" s="126"/>
      <c r="C369" s="22" t="s">
        <v>14</v>
      </c>
      <c r="D369" s="4">
        <f aca="true" t="shared" si="117" ref="D369:H373">D375+D393</f>
        <v>0</v>
      </c>
      <c r="E369" s="4">
        <f t="shared" si="117"/>
        <v>0</v>
      </c>
      <c r="F369" s="4">
        <f t="shared" si="117"/>
        <v>0</v>
      </c>
      <c r="G369" s="4">
        <f t="shared" si="117"/>
        <v>0</v>
      </c>
      <c r="H369" s="4">
        <f t="shared" si="117"/>
        <v>0</v>
      </c>
      <c r="I369" s="4">
        <f t="shared" si="116"/>
        <v>0</v>
      </c>
      <c r="J369" s="4">
        <f t="shared" si="116"/>
        <v>0</v>
      </c>
      <c r="K369" s="4">
        <f t="shared" si="116"/>
        <v>0</v>
      </c>
      <c r="L369" s="4">
        <f t="shared" si="116"/>
        <v>0</v>
      </c>
    </row>
    <row r="370" spans="1:12" ht="36" customHeight="1" outlineLevel="2">
      <c r="A370" s="85"/>
      <c r="B370" s="126"/>
      <c r="C370" s="22" t="s">
        <v>15</v>
      </c>
      <c r="D370" s="4">
        <f t="shared" si="117"/>
        <v>9164</v>
      </c>
      <c r="E370" s="4">
        <f t="shared" si="117"/>
        <v>8274</v>
      </c>
      <c r="F370" s="4">
        <f t="shared" si="117"/>
        <v>5541.78</v>
      </c>
      <c r="G370" s="4">
        <f t="shared" si="117"/>
        <v>5200</v>
      </c>
      <c r="H370" s="4">
        <f t="shared" si="117"/>
        <v>4940</v>
      </c>
      <c r="I370" s="4">
        <f t="shared" si="116"/>
        <v>581814.98</v>
      </c>
      <c r="J370" s="4">
        <f t="shared" si="116"/>
        <v>706930</v>
      </c>
      <c r="K370" s="4">
        <f t="shared" si="116"/>
        <v>707160</v>
      </c>
      <c r="L370" s="4">
        <f t="shared" si="116"/>
        <v>707160</v>
      </c>
    </row>
    <row r="371" spans="1:12" ht="38.25" customHeight="1" outlineLevel="2">
      <c r="A371" s="85"/>
      <c r="B371" s="126"/>
      <c r="C371" s="37" t="s">
        <v>5</v>
      </c>
      <c r="D371" s="4">
        <f t="shared" si="117"/>
        <v>17742459.37</v>
      </c>
      <c r="E371" s="4">
        <f t="shared" si="117"/>
        <v>18848564.96</v>
      </c>
      <c r="F371" s="4">
        <f t="shared" si="117"/>
        <v>18584738.81</v>
      </c>
      <c r="G371" s="4">
        <f t="shared" si="117"/>
        <v>20716440.94</v>
      </c>
      <c r="H371" s="4">
        <f t="shared" si="117"/>
        <v>20819817.56</v>
      </c>
      <c r="I371" s="4">
        <f t="shared" si="116"/>
        <v>21511335.750000004</v>
      </c>
      <c r="J371" s="4">
        <f t="shared" si="116"/>
        <v>24298327.279999997</v>
      </c>
      <c r="K371" s="4">
        <f t="shared" si="116"/>
        <v>18662801.009999998</v>
      </c>
      <c r="L371" s="4">
        <f t="shared" si="116"/>
        <v>18165850.5</v>
      </c>
    </row>
    <row r="372" spans="1:12" ht="38.25" customHeight="1" outlineLevel="2">
      <c r="A372" s="85"/>
      <c r="B372" s="126"/>
      <c r="C372" s="55" t="s">
        <v>6</v>
      </c>
      <c r="D372" s="4">
        <f t="shared" si="117"/>
        <v>0</v>
      </c>
      <c r="E372" s="4">
        <f t="shared" si="117"/>
        <v>0</v>
      </c>
      <c r="F372" s="4">
        <f t="shared" si="117"/>
        <v>0</v>
      </c>
      <c r="G372" s="4">
        <f t="shared" si="117"/>
        <v>0</v>
      </c>
      <c r="H372" s="4">
        <f t="shared" si="117"/>
        <v>0</v>
      </c>
      <c r="I372" s="4">
        <f t="shared" si="116"/>
        <v>0</v>
      </c>
      <c r="J372" s="4">
        <f t="shared" si="116"/>
        <v>0</v>
      </c>
      <c r="K372" s="4">
        <f t="shared" si="116"/>
        <v>0</v>
      </c>
      <c r="L372" s="4">
        <f t="shared" si="116"/>
        <v>0</v>
      </c>
    </row>
    <row r="373" spans="1:12" ht="29.25" customHeight="1" outlineLevel="2">
      <c r="A373" s="124"/>
      <c r="B373" s="127"/>
      <c r="C373" s="22" t="s">
        <v>16</v>
      </c>
      <c r="D373" s="4">
        <f t="shared" si="117"/>
        <v>0</v>
      </c>
      <c r="E373" s="4">
        <f t="shared" si="117"/>
        <v>0</v>
      </c>
      <c r="F373" s="4">
        <f t="shared" si="117"/>
        <v>0</v>
      </c>
      <c r="G373" s="4">
        <f t="shared" si="117"/>
        <v>0</v>
      </c>
      <c r="H373" s="4">
        <f t="shared" si="117"/>
        <v>0</v>
      </c>
      <c r="I373" s="4">
        <f t="shared" si="116"/>
        <v>0</v>
      </c>
      <c r="J373" s="4">
        <f t="shared" si="116"/>
        <v>0</v>
      </c>
      <c r="K373" s="4">
        <f t="shared" si="116"/>
        <v>0</v>
      </c>
      <c r="L373" s="4">
        <f t="shared" si="116"/>
        <v>0</v>
      </c>
    </row>
    <row r="374" spans="1:12" ht="29.25" customHeight="1" outlineLevel="2">
      <c r="A374" s="72" t="s">
        <v>30</v>
      </c>
      <c r="B374" s="94"/>
      <c r="C374" s="31" t="s">
        <v>13</v>
      </c>
      <c r="D374" s="6">
        <f aca="true" t="shared" si="118" ref="D374:L374">D375+D376+D377+D378+D379</f>
        <v>17742459.37</v>
      </c>
      <c r="E374" s="6">
        <f t="shared" si="118"/>
        <v>18848564.96</v>
      </c>
      <c r="F374" s="6">
        <f t="shared" si="118"/>
        <v>18584738.81</v>
      </c>
      <c r="G374" s="6">
        <f t="shared" si="118"/>
        <v>20716440.94</v>
      </c>
      <c r="H374" s="6">
        <f t="shared" si="118"/>
        <v>20819817.56</v>
      </c>
      <c r="I374" s="6">
        <f t="shared" si="118"/>
        <v>21994183.470000003</v>
      </c>
      <c r="J374" s="6">
        <f t="shared" si="118"/>
        <v>24094019.54</v>
      </c>
      <c r="K374" s="6">
        <f t="shared" si="118"/>
        <v>19364201.009999998</v>
      </c>
      <c r="L374" s="6">
        <f t="shared" si="118"/>
        <v>18867250.5</v>
      </c>
    </row>
    <row r="375" spans="1:12" ht="29.25" customHeight="1" outlineLevel="2">
      <c r="A375" s="80"/>
      <c r="B375" s="94"/>
      <c r="C375" s="31" t="s">
        <v>14</v>
      </c>
      <c r="D375" s="6">
        <f aca="true" t="shared" si="119" ref="D375:K375">D381+D387</f>
        <v>0</v>
      </c>
      <c r="E375" s="6">
        <f t="shared" si="119"/>
        <v>0</v>
      </c>
      <c r="F375" s="6">
        <f t="shared" si="119"/>
        <v>0</v>
      </c>
      <c r="G375" s="6">
        <f t="shared" si="119"/>
        <v>0</v>
      </c>
      <c r="H375" s="6">
        <f t="shared" si="119"/>
        <v>0</v>
      </c>
      <c r="I375" s="6">
        <f t="shared" si="119"/>
        <v>0</v>
      </c>
      <c r="J375" s="6">
        <f t="shared" si="119"/>
        <v>0</v>
      </c>
      <c r="K375" s="6">
        <f t="shared" si="119"/>
        <v>0</v>
      </c>
      <c r="L375" s="6">
        <f>L381+L387</f>
        <v>0</v>
      </c>
    </row>
    <row r="376" spans="1:12" ht="36" customHeight="1" outlineLevel="2">
      <c r="A376" s="80"/>
      <c r="B376" s="94"/>
      <c r="C376" s="31" t="s">
        <v>15</v>
      </c>
      <c r="D376" s="6">
        <f aca="true" t="shared" si="120" ref="D376:I379">D382+D388</f>
        <v>0</v>
      </c>
      <c r="E376" s="6">
        <f t="shared" si="120"/>
        <v>0</v>
      </c>
      <c r="F376" s="6">
        <f t="shared" si="120"/>
        <v>0</v>
      </c>
      <c r="G376" s="6">
        <f t="shared" si="120"/>
        <v>0</v>
      </c>
      <c r="H376" s="6">
        <f t="shared" si="120"/>
        <v>0</v>
      </c>
      <c r="I376" s="6">
        <f t="shared" si="120"/>
        <v>577139.98</v>
      </c>
      <c r="J376" s="6">
        <f aca="true" t="shared" si="121" ref="J376:K379">J382+J388</f>
        <v>701400</v>
      </c>
      <c r="K376" s="6">
        <f t="shared" si="121"/>
        <v>701400</v>
      </c>
      <c r="L376" s="6">
        <f>L382+L388</f>
        <v>701400</v>
      </c>
    </row>
    <row r="377" spans="1:12" ht="38.25" customHeight="1" outlineLevel="2">
      <c r="A377" s="80"/>
      <c r="B377" s="94"/>
      <c r="C377" s="34" t="s">
        <v>5</v>
      </c>
      <c r="D377" s="6">
        <f t="shared" si="120"/>
        <v>17742459.37</v>
      </c>
      <c r="E377" s="6">
        <f t="shared" si="120"/>
        <v>18848564.96</v>
      </c>
      <c r="F377" s="6">
        <f t="shared" si="120"/>
        <v>18584738.81</v>
      </c>
      <c r="G377" s="6">
        <f t="shared" si="120"/>
        <v>20716440.94</v>
      </c>
      <c r="H377" s="6">
        <f t="shared" si="120"/>
        <v>20819817.56</v>
      </c>
      <c r="I377" s="6">
        <f t="shared" si="120"/>
        <v>21417043.490000002</v>
      </c>
      <c r="J377" s="6">
        <f t="shared" si="121"/>
        <v>23392619.54</v>
      </c>
      <c r="K377" s="6">
        <f t="shared" si="121"/>
        <v>18662801.009999998</v>
      </c>
      <c r="L377" s="6">
        <f>L383+L389</f>
        <v>18165850.5</v>
      </c>
    </row>
    <row r="378" spans="1:12" ht="38.25" customHeight="1" outlineLevel="2">
      <c r="A378" s="80"/>
      <c r="B378" s="94"/>
      <c r="C378" s="49" t="s">
        <v>6</v>
      </c>
      <c r="D378" s="6">
        <f t="shared" si="120"/>
        <v>0</v>
      </c>
      <c r="E378" s="6">
        <f t="shared" si="120"/>
        <v>0</v>
      </c>
      <c r="F378" s="6">
        <f t="shared" si="120"/>
        <v>0</v>
      </c>
      <c r="G378" s="6">
        <f t="shared" si="120"/>
        <v>0</v>
      </c>
      <c r="H378" s="6">
        <f t="shared" si="120"/>
        <v>0</v>
      </c>
      <c r="I378" s="6">
        <f t="shared" si="120"/>
        <v>0</v>
      </c>
      <c r="J378" s="6">
        <f t="shared" si="121"/>
        <v>0</v>
      </c>
      <c r="K378" s="6">
        <f t="shared" si="121"/>
        <v>0</v>
      </c>
      <c r="L378" s="6">
        <f>L384+L390</f>
        <v>0</v>
      </c>
    </row>
    <row r="379" spans="1:12" ht="29.25" customHeight="1" outlineLevel="2">
      <c r="A379" s="81"/>
      <c r="B379" s="94"/>
      <c r="C379" s="31" t="s">
        <v>16</v>
      </c>
      <c r="D379" s="6">
        <f t="shared" si="120"/>
        <v>0</v>
      </c>
      <c r="E379" s="6">
        <f t="shared" si="120"/>
        <v>0</v>
      </c>
      <c r="F379" s="6">
        <f t="shared" si="120"/>
        <v>0</v>
      </c>
      <c r="G379" s="6">
        <f t="shared" si="120"/>
        <v>0</v>
      </c>
      <c r="H379" s="6">
        <f t="shared" si="120"/>
        <v>0</v>
      </c>
      <c r="I379" s="6">
        <f t="shared" si="120"/>
        <v>0</v>
      </c>
      <c r="J379" s="6">
        <f t="shared" si="121"/>
        <v>0</v>
      </c>
      <c r="K379" s="6">
        <f t="shared" si="121"/>
        <v>0</v>
      </c>
      <c r="L379" s="6">
        <f>L385+L391</f>
        <v>0</v>
      </c>
    </row>
    <row r="380" spans="1:12" ht="43.5" customHeight="1" outlineLevel="2">
      <c r="A380" s="72" t="s">
        <v>67</v>
      </c>
      <c r="B380" s="94"/>
      <c r="C380" s="31" t="s">
        <v>13</v>
      </c>
      <c r="D380" s="6">
        <f aca="true" t="shared" si="122" ref="D380:L380">D381+D382+D383+D384+D385</f>
        <v>17742459.37</v>
      </c>
      <c r="E380" s="6">
        <f t="shared" si="122"/>
        <v>18848564.96</v>
      </c>
      <c r="F380" s="6">
        <f t="shared" si="122"/>
        <v>18584738.81</v>
      </c>
      <c r="G380" s="6">
        <f t="shared" si="122"/>
        <v>20716440.94</v>
      </c>
      <c r="H380" s="6">
        <f t="shared" si="122"/>
        <v>20819817.56</v>
      </c>
      <c r="I380" s="6">
        <f t="shared" si="122"/>
        <v>21169697.700000003</v>
      </c>
      <c r="J380" s="6">
        <f t="shared" si="122"/>
        <v>23092019.54</v>
      </c>
      <c r="K380" s="6">
        <f t="shared" si="122"/>
        <v>18362201.009999998</v>
      </c>
      <c r="L380" s="6">
        <f t="shared" si="122"/>
        <v>17865250.5</v>
      </c>
    </row>
    <row r="381" spans="1:12" ht="43.5" customHeight="1" outlineLevel="2">
      <c r="A381" s="80"/>
      <c r="B381" s="94"/>
      <c r="C381" s="31" t="s">
        <v>14</v>
      </c>
      <c r="D381" s="6"/>
      <c r="E381" s="6"/>
      <c r="F381" s="6"/>
      <c r="G381" s="7"/>
      <c r="H381" s="6"/>
      <c r="I381" s="6"/>
      <c r="J381" s="6"/>
      <c r="K381" s="6"/>
      <c r="L381" s="6"/>
    </row>
    <row r="382" spans="1:12" ht="42.75" customHeight="1" outlineLevel="2">
      <c r="A382" s="80"/>
      <c r="B382" s="94"/>
      <c r="C382" s="31" t="s">
        <v>15</v>
      </c>
      <c r="D382" s="6"/>
      <c r="E382" s="6"/>
      <c r="F382" s="6"/>
      <c r="G382" s="7"/>
      <c r="H382" s="6"/>
      <c r="I382" s="6"/>
      <c r="J382" s="6"/>
      <c r="K382" s="6"/>
      <c r="L382" s="6"/>
    </row>
    <row r="383" spans="1:12" ht="36.75" customHeight="1" outlineLevel="2">
      <c r="A383" s="80"/>
      <c r="B383" s="94"/>
      <c r="C383" s="34" t="s">
        <v>5</v>
      </c>
      <c r="D383" s="7">
        <v>17742459.37</v>
      </c>
      <c r="E383" s="7">
        <v>18848564.96</v>
      </c>
      <c r="F383" s="7">
        <f>18584738.81</f>
        <v>18584738.81</v>
      </c>
      <c r="G383" s="7">
        <v>20716440.94</v>
      </c>
      <c r="H383" s="6">
        <v>20819817.56</v>
      </c>
      <c r="I383" s="6">
        <f>22207739+12000+8353.64+21198.05+41300+52700-1173592.99</f>
        <v>21169697.700000003</v>
      </c>
      <c r="J383" s="6">
        <f>22822664+4355.54+265000</f>
        <v>23092019.54</v>
      </c>
      <c r="K383" s="6">
        <f>18400000-42932.32+5133.33</f>
        <v>18362201.009999998</v>
      </c>
      <c r="L383" s="6">
        <f>17900000-39882.83+5133.33</f>
        <v>17865250.5</v>
      </c>
    </row>
    <row r="384" spans="1:12" ht="41.25" customHeight="1" outlineLevel="2">
      <c r="A384" s="80"/>
      <c r="B384" s="94"/>
      <c r="C384" s="49" t="s">
        <v>6</v>
      </c>
      <c r="D384" s="7"/>
      <c r="E384" s="7"/>
      <c r="F384" s="7"/>
      <c r="G384" s="7"/>
      <c r="H384" s="6"/>
      <c r="I384" s="6"/>
      <c r="J384" s="6"/>
      <c r="K384" s="6"/>
      <c r="L384" s="6"/>
    </row>
    <row r="385" spans="1:12" ht="42" customHeight="1" outlineLevel="2">
      <c r="A385" s="81"/>
      <c r="B385" s="94"/>
      <c r="C385" s="31" t="s">
        <v>16</v>
      </c>
      <c r="D385" s="6"/>
      <c r="E385" s="6"/>
      <c r="F385" s="6"/>
      <c r="G385" s="7"/>
      <c r="H385" s="6"/>
      <c r="I385" s="6"/>
      <c r="J385" s="6"/>
      <c r="K385" s="6"/>
      <c r="L385" s="6"/>
    </row>
    <row r="386" spans="1:12" ht="43.5" customHeight="1" outlineLevel="2">
      <c r="A386" s="72" t="s">
        <v>68</v>
      </c>
      <c r="B386" s="88"/>
      <c r="C386" s="31" t="s">
        <v>13</v>
      </c>
      <c r="D386" s="6">
        <f aca="true" t="shared" si="123" ref="D386:L386">D387+D388+D389+D390+D391</f>
        <v>0</v>
      </c>
      <c r="E386" s="6">
        <f t="shared" si="123"/>
        <v>0</v>
      </c>
      <c r="F386" s="6">
        <f t="shared" si="123"/>
        <v>0</v>
      </c>
      <c r="G386" s="6">
        <f t="shared" si="123"/>
        <v>0</v>
      </c>
      <c r="H386" s="6">
        <f t="shared" si="123"/>
        <v>0</v>
      </c>
      <c r="I386" s="6">
        <f t="shared" si="123"/>
        <v>824485.77</v>
      </c>
      <c r="J386" s="6">
        <f t="shared" si="123"/>
        <v>1002000</v>
      </c>
      <c r="K386" s="6">
        <f t="shared" si="123"/>
        <v>1002000</v>
      </c>
      <c r="L386" s="6">
        <f t="shared" si="123"/>
        <v>1002000</v>
      </c>
    </row>
    <row r="387" spans="1:12" ht="43.5" customHeight="1" outlineLevel="2">
      <c r="A387" s="80"/>
      <c r="B387" s="89"/>
      <c r="C387" s="31" t="s">
        <v>14</v>
      </c>
      <c r="D387" s="6"/>
      <c r="E387" s="6"/>
      <c r="F387" s="6"/>
      <c r="G387" s="7"/>
      <c r="H387" s="6"/>
      <c r="I387" s="6"/>
      <c r="J387" s="6"/>
      <c r="K387" s="6"/>
      <c r="L387" s="6"/>
    </row>
    <row r="388" spans="1:12" ht="42.75" customHeight="1" outlineLevel="2">
      <c r="A388" s="80"/>
      <c r="B388" s="89"/>
      <c r="C388" s="31" t="s">
        <v>15</v>
      </c>
      <c r="D388" s="6"/>
      <c r="E388" s="6"/>
      <c r="F388" s="6"/>
      <c r="G388" s="6"/>
      <c r="H388" s="6">
        <v>0</v>
      </c>
      <c r="I388" s="6">
        <f>645508.14-68368.16</f>
        <v>577139.98</v>
      </c>
      <c r="J388" s="6">
        <v>701400</v>
      </c>
      <c r="K388" s="6">
        <v>701400</v>
      </c>
      <c r="L388" s="6">
        <v>701400</v>
      </c>
    </row>
    <row r="389" spans="1:12" ht="36.75" customHeight="1" outlineLevel="2">
      <c r="A389" s="80"/>
      <c r="B389" s="89"/>
      <c r="C389" s="34" t="s">
        <v>5</v>
      </c>
      <c r="D389" s="6"/>
      <c r="E389" s="6"/>
      <c r="F389" s="6"/>
      <c r="G389" s="7"/>
      <c r="H389" s="6">
        <v>0</v>
      </c>
      <c r="I389" s="6">
        <f>291000-6000-8353.64-29300.57</f>
        <v>247345.78999999998</v>
      </c>
      <c r="J389" s="6">
        <v>300600</v>
      </c>
      <c r="K389" s="6">
        <v>300600</v>
      </c>
      <c r="L389" s="6">
        <v>300600</v>
      </c>
    </row>
    <row r="390" spans="1:12" ht="41.25" customHeight="1" outlineLevel="2">
      <c r="A390" s="80"/>
      <c r="B390" s="89"/>
      <c r="C390" s="49" t="s">
        <v>6</v>
      </c>
      <c r="D390" s="6"/>
      <c r="E390" s="6"/>
      <c r="F390" s="6"/>
      <c r="G390" s="7"/>
      <c r="H390" s="6"/>
      <c r="I390" s="6"/>
      <c r="J390" s="6"/>
      <c r="K390" s="6"/>
      <c r="L390" s="6"/>
    </row>
    <row r="391" spans="1:12" ht="42" customHeight="1" outlineLevel="2">
      <c r="A391" s="81"/>
      <c r="B391" s="90"/>
      <c r="C391" s="44" t="s">
        <v>16</v>
      </c>
      <c r="D391" s="6"/>
      <c r="E391" s="6"/>
      <c r="F391" s="6"/>
      <c r="G391" s="7"/>
      <c r="H391" s="6"/>
      <c r="I391" s="6"/>
      <c r="J391" s="43"/>
      <c r="K391" s="43"/>
      <c r="L391" s="43"/>
    </row>
    <row r="392" spans="1:12" ht="36" customHeight="1" outlineLevel="1">
      <c r="A392" s="72" t="s">
        <v>51</v>
      </c>
      <c r="B392" s="88"/>
      <c r="C392" s="31" t="s">
        <v>13</v>
      </c>
      <c r="D392" s="6">
        <f aca="true" t="shared" si="124" ref="D392:L392">D393+D394+D395+D396+D397</f>
        <v>9164</v>
      </c>
      <c r="E392" s="6">
        <f t="shared" si="124"/>
        <v>8274</v>
      </c>
      <c r="F392" s="6">
        <f t="shared" si="124"/>
        <v>5541.78</v>
      </c>
      <c r="G392" s="6">
        <f t="shared" si="124"/>
        <v>5200</v>
      </c>
      <c r="H392" s="6">
        <f t="shared" si="124"/>
        <v>4940</v>
      </c>
      <c r="I392" s="6">
        <f t="shared" si="124"/>
        <v>4675</v>
      </c>
      <c r="J392" s="6">
        <f t="shared" si="124"/>
        <v>5530</v>
      </c>
      <c r="K392" s="6">
        <f t="shared" si="124"/>
        <v>5760</v>
      </c>
      <c r="L392" s="6">
        <f t="shared" si="124"/>
        <v>5760</v>
      </c>
    </row>
    <row r="393" spans="1:12" ht="36" customHeight="1" outlineLevel="1">
      <c r="A393" s="80"/>
      <c r="B393" s="89"/>
      <c r="C393" s="31" t="s">
        <v>14</v>
      </c>
      <c r="D393" s="6"/>
      <c r="E393" s="6"/>
      <c r="F393" s="6"/>
      <c r="G393" s="7"/>
      <c r="H393" s="6"/>
      <c r="I393" s="6"/>
      <c r="J393" s="6"/>
      <c r="K393" s="6"/>
      <c r="L393" s="6"/>
    </row>
    <row r="394" spans="1:12" ht="36" customHeight="1" outlineLevel="1">
      <c r="A394" s="80"/>
      <c r="B394" s="89"/>
      <c r="C394" s="31" t="s">
        <v>15</v>
      </c>
      <c r="D394" s="6">
        <v>9164</v>
      </c>
      <c r="E394" s="6">
        <f>9274-1000</f>
        <v>8274</v>
      </c>
      <c r="F394" s="6">
        <v>5541.78</v>
      </c>
      <c r="G394" s="6">
        <v>5200</v>
      </c>
      <c r="H394" s="6">
        <v>4940</v>
      </c>
      <c r="I394" s="6">
        <f>5326-651</f>
        <v>4675</v>
      </c>
      <c r="J394" s="6">
        <v>5530</v>
      </c>
      <c r="K394" s="6">
        <v>5760</v>
      </c>
      <c r="L394" s="6">
        <v>5760</v>
      </c>
    </row>
    <row r="395" spans="1:12" ht="36" customHeight="1" outlineLevel="1">
      <c r="A395" s="80"/>
      <c r="B395" s="89"/>
      <c r="C395" s="34" t="s">
        <v>5</v>
      </c>
      <c r="D395" s="6"/>
      <c r="E395" s="6"/>
      <c r="F395" s="6"/>
      <c r="G395" s="7"/>
      <c r="H395" s="6"/>
      <c r="I395" s="6"/>
      <c r="J395" s="6"/>
      <c r="K395" s="6"/>
      <c r="L395" s="6"/>
    </row>
    <row r="396" spans="1:12" ht="36" customHeight="1" outlineLevel="1">
      <c r="A396" s="80"/>
      <c r="B396" s="89"/>
      <c r="C396" s="49" t="s">
        <v>6</v>
      </c>
      <c r="D396" s="6"/>
      <c r="E396" s="6"/>
      <c r="F396" s="6"/>
      <c r="G396" s="7"/>
      <c r="H396" s="6"/>
      <c r="I396" s="6"/>
      <c r="J396" s="6"/>
      <c r="K396" s="6"/>
      <c r="L396" s="6"/>
    </row>
    <row r="397" spans="1:12" ht="36" customHeight="1" outlineLevel="1">
      <c r="A397" s="81"/>
      <c r="B397" s="90"/>
      <c r="C397" s="44" t="s">
        <v>16</v>
      </c>
      <c r="D397" s="6"/>
      <c r="E397" s="6"/>
      <c r="F397" s="6"/>
      <c r="G397" s="7"/>
      <c r="H397" s="6"/>
      <c r="I397" s="6"/>
      <c r="J397" s="43"/>
      <c r="K397" s="43"/>
      <c r="L397" s="43"/>
    </row>
    <row r="398" spans="1:12" ht="36" customHeight="1" outlineLevel="1">
      <c r="A398" s="72" t="s">
        <v>72</v>
      </c>
      <c r="B398" s="107"/>
      <c r="C398" s="31" t="s">
        <v>13</v>
      </c>
      <c r="D398" s="6">
        <f aca="true" t="shared" si="125" ref="D398:L398">D399+D400+D401+D402+D403</f>
        <v>0</v>
      </c>
      <c r="E398" s="6">
        <f t="shared" si="125"/>
        <v>0</v>
      </c>
      <c r="F398" s="6">
        <f t="shared" si="125"/>
        <v>0</v>
      </c>
      <c r="G398" s="7">
        <f t="shared" si="125"/>
        <v>0</v>
      </c>
      <c r="H398" s="6">
        <f t="shared" si="125"/>
        <v>0</v>
      </c>
      <c r="I398" s="6">
        <f t="shared" si="125"/>
        <v>94292.26000000001</v>
      </c>
      <c r="J398" s="6">
        <f t="shared" si="125"/>
        <v>905707.74</v>
      </c>
      <c r="K398" s="6">
        <f t="shared" si="125"/>
        <v>0</v>
      </c>
      <c r="L398" s="6">
        <f t="shared" si="125"/>
        <v>0</v>
      </c>
    </row>
    <row r="399" spans="1:12" ht="36" customHeight="1" outlineLevel="1">
      <c r="A399" s="80"/>
      <c r="B399" s="108"/>
      <c r="C399" s="31" t="s">
        <v>14</v>
      </c>
      <c r="D399" s="6">
        <f aca="true" t="shared" si="126" ref="D399:K401">D405+D411</f>
        <v>0</v>
      </c>
      <c r="E399" s="6">
        <f t="shared" si="126"/>
        <v>0</v>
      </c>
      <c r="F399" s="6">
        <f t="shared" si="126"/>
        <v>0</v>
      </c>
      <c r="G399" s="6">
        <f t="shared" si="126"/>
        <v>0</v>
      </c>
      <c r="H399" s="6">
        <f t="shared" si="126"/>
        <v>0</v>
      </c>
      <c r="I399" s="6">
        <f t="shared" si="126"/>
        <v>0</v>
      </c>
      <c r="J399" s="6">
        <f t="shared" si="126"/>
        <v>0</v>
      </c>
      <c r="K399" s="6">
        <f t="shared" si="126"/>
        <v>0</v>
      </c>
      <c r="L399" s="6">
        <f>L405+L411</f>
        <v>0</v>
      </c>
    </row>
    <row r="400" spans="1:12" ht="36" customHeight="1" outlineLevel="1">
      <c r="A400" s="80"/>
      <c r="B400" s="108"/>
      <c r="C400" s="31" t="s">
        <v>15</v>
      </c>
      <c r="D400" s="6">
        <f t="shared" si="126"/>
        <v>0</v>
      </c>
      <c r="E400" s="6">
        <f t="shared" si="126"/>
        <v>0</v>
      </c>
      <c r="F400" s="6">
        <f t="shared" si="126"/>
        <v>0</v>
      </c>
      <c r="G400" s="6">
        <f t="shared" si="126"/>
        <v>0</v>
      </c>
      <c r="H400" s="6">
        <f t="shared" si="126"/>
        <v>0</v>
      </c>
      <c r="I400" s="6">
        <f t="shared" si="126"/>
        <v>0</v>
      </c>
      <c r="J400" s="6">
        <f t="shared" si="126"/>
        <v>0</v>
      </c>
      <c r="K400" s="6">
        <f t="shared" si="126"/>
        <v>0</v>
      </c>
      <c r="L400" s="6">
        <f>L406+L412</f>
        <v>0</v>
      </c>
    </row>
    <row r="401" spans="1:12" ht="36" customHeight="1" outlineLevel="1">
      <c r="A401" s="80"/>
      <c r="B401" s="108"/>
      <c r="C401" s="32" t="s">
        <v>5</v>
      </c>
      <c r="D401" s="7">
        <f t="shared" si="126"/>
        <v>0</v>
      </c>
      <c r="E401" s="7">
        <f t="shared" si="126"/>
        <v>0</v>
      </c>
      <c r="F401" s="7">
        <f t="shared" si="126"/>
        <v>0</v>
      </c>
      <c r="G401" s="7">
        <f t="shared" si="126"/>
        <v>0</v>
      </c>
      <c r="H401" s="7">
        <f t="shared" si="126"/>
        <v>0</v>
      </c>
      <c r="I401" s="7">
        <f t="shared" si="126"/>
        <v>94292.26000000001</v>
      </c>
      <c r="J401" s="7">
        <f t="shared" si="126"/>
        <v>905707.74</v>
      </c>
      <c r="K401" s="6">
        <f t="shared" si="126"/>
        <v>0</v>
      </c>
      <c r="L401" s="6">
        <f>L407+L413</f>
        <v>0</v>
      </c>
    </row>
    <row r="402" spans="1:12" ht="36" customHeight="1" outlineLevel="1">
      <c r="A402" s="80"/>
      <c r="B402" s="108"/>
      <c r="C402" s="44" t="s">
        <v>6</v>
      </c>
      <c r="D402" s="7"/>
      <c r="E402" s="7"/>
      <c r="F402" s="7"/>
      <c r="G402" s="7"/>
      <c r="H402" s="6"/>
      <c r="I402" s="6"/>
      <c r="J402" s="6"/>
      <c r="K402" s="6"/>
      <c r="L402" s="6"/>
    </row>
    <row r="403" spans="1:12" ht="36" customHeight="1" outlineLevel="1">
      <c r="A403" s="81"/>
      <c r="B403" s="109"/>
      <c r="C403" s="31" t="s">
        <v>16</v>
      </c>
      <c r="D403" s="6"/>
      <c r="E403" s="6"/>
      <c r="F403" s="6"/>
      <c r="G403" s="7"/>
      <c r="H403" s="6"/>
      <c r="I403" s="6"/>
      <c r="J403" s="6"/>
      <c r="K403" s="6"/>
      <c r="L403" s="6"/>
    </row>
    <row r="404" spans="1:12" ht="18.75">
      <c r="A404" s="72" t="s">
        <v>73</v>
      </c>
      <c r="B404" s="107"/>
      <c r="C404" s="31" t="s">
        <v>13</v>
      </c>
      <c r="D404" s="6">
        <f>D405+D406+D407+D408+D409</f>
        <v>0</v>
      </c>
      <c r="E404" s="6">
        <f>E405+E406+E407+E408+E409</f>
        <v>0</v>
      </c>
      <c r="F404" s="6">
        <f>F405+F406+F407+F408+F409</f>
        <v>0</v>
      </c>
      <c r="G404" s="7">
        <f>G405+G406+G407+G408+G409</f>
        <v>0</v>
      </c>
      <c r="H404" s="6">
        <f>H406+H407</f>
        <v>0</v>
      </c>
      <c r="I404" s="6">
        <f>I405+I406+I407+I408+I409</f>
        <v>94292.26000000001</v>
      </c>
      <c r="J404" s="6">
        <f>J405+J406+J407+J408+J409</f>
        <v>905707.74</v>
      </c>
      <c r="K404" s="6">
        <f>K405+K406+K407+K408+K409</f>
        <v>0</v>
      </c>
      <c r="L404" s="6">
        <f>L405+L406+L407+L408+L409</f>
        <v>0</v>
      </c>
    </row>
    <row r="405" spans="1:12" ht="34.5" customHeight="1">
      <c r="A405" s="80"/>
      <c r="B405" s="108"/>
      <c r="C405" s="31" t="s">
        <v>14</v>
      </c>
      <c r="D405" s="6">
        <v>0</v>
      </c>
      <c r="E405" s="6"/>
      <c r="F405" s="6"/>
      <c r="G405" s="7"/>
      <c r="H405" s="6"/>
      <c r="I405" s="6"/>
      <c r="J405" s="6"/>
      <c r="K405" s="6"/>
      <c r="L405" s="6"/>
    </row>
    <row r="406" spans="1:12" ht="66" customHeight="1">
      <c r="A406" s="80"/>
      <c r="B406" s="108"/>
      <c r="C406" s="31" t="s">
        <v>15</v>
      </c>
      <c r="D406" s="6"/>
      <c r="E406" s="6"/>
      <c r="F406" s="6">
        <v>0</v>
      </c>
      <c r="G406" s="7">
        <v>0</v>
      </c>
      <c r="H406" s="6">
        <v>0</v>
      </c>
      <c r="I406" s="6">
        <v>0</v>
      </c>
      <c r="J406" s="6">
        <v>0</v>
      </c>
      <c r="K406" s="6">
        <v>0</v>
      </c>
      <c r="L406" s="6">
        <v>0</v>
      </c>
    </row>
    <row r="407" spans="1:12" ht="41.25" customHeight="1">
      <c r="A407" s="80"/>
      <c r="B407" s="108"/>
      <c r="C407" s="32" t="s">
        <v>5</v>
      </c>
      <c r="D407" s="7">
        <v>0</v>
      </c>
      <c r="E407" s="35">
        <v>0</v>
      </c>
      <c r="F407" s="35">
        <v>0</v>
      </c>
      <c r="G407" s="7">
        <v>0</v>
      </c>
      <c r="H407" s="6">
        <v>0</v>
      </c>
      <c r="I407" s="6">
        <f>1000000-905707.74</f>
        <v>94292.26000000001</v>
      </c>
      <c r="J407" s="6">
        <f>905707.74</f>
        <v>905707.74</v>
      </c>
      <c r="K407" s="6">
        <v>0</v>
      </c>
      <c r="L407" s="6">
        <v>0</v>
      </c>
    </row>
    <row r="408" spans="1:12" ht="37.5">
      <c r="A408" s="80"/>
      <c r="B408" s="108"/>
      <c r="C408" s="44" t="s">
        <v>6</v>
      </c>
      <c r="D408" s="7"/>
      <c r="E408" s="7"/>
      <c r="F408" s="7"/>
      <c r="G408" s="7"/>
      <c r="H408" s="6" t="s">
        <v>66</v>
      </c>
      <c r="I408" s="6"/>
      <c r="J408" s="6"/>
      <c r="K408" s="6"/>
      <c r="L408" s="6"/>
    </row>
    <row r="409" spans="1:12" ht="18.75">
      <c r="A409" s="81"/>
      <c r="B409" s="109"/>
      <c r="C409" s="64" t="s">
        <v>16</v>
      </c>
      <c r="D409" s="6"/>
      <c r="E409" s="6"/>
      <c r="F409" s="6"/>
      <c r="G409" s="7"/>
      <c r="H409" s="6"/>
      <c r="I409" s="6"/>
      <c r="J409" s="6"/>
      <c r="K409" s="6"/>
      <c r="L409" s="6"/>
    </row>
    <row r="410" spans="1:9" ht="18.75">
      <c r="A410" s="19"/>
      <c r="B410" s="20"/>
      <c r="C410" s="20"/>
      <c r="D410" s="11"/>
      <c r="E410" s="11"/>
      <c r="F410" s="11"/>
      <c r="G410" s="11"/>
      <c r="H410" s="11"/>
      <c r="I410" s="11"/>
    </row>
    <row r="411" spans="1:9" ht="18.75">
      <c r="A411" s="19"/>
      <c r="B411" s="20"/>
      <c r="C411" s="20"/>
      <c r="D411" s="12"/>
      <c r="E411" s="12"/>
      <c r="F411" s="12"/>
      <c r="G411" s="12"/>
      <c r="H411" s="11"/>
      <c r="I411" s="11"/>
    </row>
    <row r="412" spans="1:9" ht="18.75">
      <c r="A412" s="110" t="s">
        <v>10</v>
      </c>
      <c r="B412" s="110"/>
      <c r="C412" s="110"/>
      <c r="D412" s="110"/>
      <c r="E412" s="110"/>
      <c r="F412" s="110"/>
      <c r="G412" s="110"/>
      <c r="H412" s="38"/>
      <c r="I412" s="38"/>
    </row>
    <row r="413" spans="1:9" ht="18.75">
      <c r="A413" s="110" t="s">
        <v>11</v>
      </c>
      <c r="B413" s="110"/>
      <c r="C413" s="110"/>
      <c r="D413" s="110"/>
      <c r="E413" s="110"/>
      <c r="F413" s="110"/>
      <c r="G413" s="110"/>
      <c r="H413" s="38"/>
      <c r="I413" s="38"/>
    </row>
    <row r="414" spans="1:9" ht="18.75">
      <c r="A414" s="39"/>
      <c r="B414" s="40"/>
      <c r="C414" s="40"/>
      <c r="D414" s="13"/>
      <c r="E414" s="13"/>
      <c r="F414" s="13"/>
      <c r="G414" s="13"/>
      <c r="H414" s="41"/>
      <c r="I414" s="41"/>
    </row>
    <row r="415" spans="8:9" ht="18.75">
      <c r="H415" s="1"/>
      <c r="I415" s="1"/>
    </row>
    <row r="416" spans="8:9" ht="18.75">
      <c r="H416" s="1"/>
      <c r="I416" s="1"/>
    </row>
    <row r="417" spans="8:9" ht="18.75">
      <c r="H417" s="1"/>
      <c r="I417" s="1"/>
    </row>
    <row r="418" spans="8:9" ht="18.75">
      <c r="H418" s="1"/>
      <c r="I418" s="1"/>
    </row>
    <row r="419" spans="8:9" ht="18.75">
      <c r="H419" s="1"/>
      <c r="I419" s="1"/>
    </row>
    <row r="420" spans="8:9" ht="18.75">
      <c r="H420" s="1"/>
      <c r="I420" s="1"/>
    </row>
  </sheetData>
  <sheetProtection/>
  <mergeCells count="150">
    <mergeCell ref="B128:B133"/>
    <mergeCell ref="A128:A133"/>
    <mergeCell ref="B320:B325"/>
    <mergeCell ref="K2:L2"/>
    <mergeCell ref="B206:B211"/>
    <mergeCell ref="A356:A361"/>
    <mergeCell ref="B356:B361"/>
    <mergeCell ref="L5:L6"/>
    <mergeCell ref="D4:L4"/>
    <mergeCell ref="A236:A241"/>
    <mergeCell ref="A368:A373"/>
    <mergeCell ref="B368:B373"/>
    <mergeCell ref="A362:A367"/>
    <mergeCell ref="A200:A205"/>
    <mergeCell ref="A344:A349"/>
    <mergeCell ref="B260:B265"/>
    <mergeCell ref="A224:A229"/>
    <mergeCell ref="A230:A235"/>
    <mergeCell ref="B242:B247"/>
    <mergeCell ref="B344:B349"/>
    <mergeCell ref="A380:A385"/>
    <mergeCell ref="B380:B385"/>
    <mergeCell ref="A386:A391"/>
    <mergeCell ref="B386:B391"/>
    <mergeCell ref="A398:A403"/>
    <mergeCell ref="B398:B403"/>
    <mergeCell ref="K5:K6"/>
    <mergeCell ref="A3:K3"/>
    <mergeCell ref="A284:A289"/>
    <mergeCell ref="B284:B289"/>
    <mergeCell ref="A272:A277"/>
    <mergeCell ref="B272:B277"/>
    <mergeCell ref="A152:A157"/>
    <mergeCell ref="B194:B199"/>
    <mergeCell ref="A206:A211"/>
    <mergeCell ref="B200:B205"/>
    <mergeCell ref="B116:B121"/>
    <mergeCell ref="B152:B157"/>
    <mergeCell ref="B140:B145"/>
    <mergeCell ref="A158:A163"/>
    <mergeCell ref="B254:B259"/>
    <mergeCell ref="B218:B223"/>
    <mergeCell ref="B230:B235"/>
    <mergeCell ref="A194:A199"/>
    <mergeCell ref="B134:B139"/>
    <mergeCell ref="A134:A139"/>
    <mergeCell ref="A92:A97"/>
    <mergeCell ref="A38:A43"/>
    <mergeCell ref="A86:A91"/>
    <mergeCell ref="B86:B91"/>
    <mergeCell ref="A44:A49"/>
    <mergeCell ref="B44:B49"/>
    <mergeCell ref="B38:B43"/>
    <mergeCell ref="A74:A79"/>
    <mergeCell ref="B74:B79"/>
    <mergeCell ref="A98:A103"/>
    <mergeCell ref="A26:A31"/>
    <mergeCell ref="B56:B61"/>
    <mergeCell ref="A56:A61"/>
    <mergeCell ref="A104:A109"/>
    <mergeCell ref="A50:A55"/>
    <mergeCell ref="B50:B55"/>
    <mergeCell ref="A80:A85"/>
    <mergeCell ref="B80:B85"/>
    <mergeCell ref="B68:B73"/>
    <mergeCell ref="B146:B151"/>
    <mergeCell ref="B182:B187"/>
    <mergeCell ref="A182:A187"/>
    <mergeCell ref="A176:A181"/>
    <mergeCell ref="B176:B181"/>
    <mergeCell ref="A164:A169"/>
    <mergeCell ref="B164:B169"/>
    <mergeCell ref="A170:A175"/>
    <mergeCell ref="B170:B175"/>
    <mergeCell ref="B224:B229"/>
    <mergeCell ref="A212:A217"/>
    <mergeCell ref="B212:B217"/>
    <mergeCell ref="B296:B301"/>
    <mergeCell ref="A266:A271"/>
    <mergeCell ref="B248:B253"/>
    <mergeCell ref="A278:A283"/>
    <mergeCell ref="A260:A265"/>
    <mergeCell ref="A248:A253"/>
    <mergeCell ref="B236:B241"/>
    <mergeCell ref="A412:G412"/>
    <mergeCell ref="A308:A313"/>
    <mergeCell ref="B350:B355"/>
    <mergeCell ref="B308:B313"/>
    <mergeCell ref="B302:B307"/>
    <mergeCell ref="A350:A355"/>
    <mergeCell ref="A302:A307"/>
    <mergeCell ref="A314:A319"/>
    <mergeCell ref="A404:A409"/>
    <mergeCell ref="B404:B409"/>
    <mergeCell ref="A413:G413"/>
    <mergeCell ref="A110:A115"/>
    <mergeCell ref="B110:B115"/>
    <mergeCell ref="A254:A259"/>
    <mergeCell ref="B266:B271"/>
    <mergeCell ref="A374:A379"/>
    <mergeCell ref="B392:B397"/>
    <mergeCell ref="B338:B343"/>
    <mergeCell ref="B374:B379"/>
    <mergeCell ref="A392:A397"/>
    <mergeCell ref="H5:H6"/>
    <mergeCell ref="G5:G6"/>
    <mergeCell ref="I5:I6"/>
    <mergeCell ref="F5:F6"/>
    <mergeCell ref="J5:J6"/>
    <mergeCell ref="B362:B367"/>
    <mergeCell ref="B332:B337"/>
    <mergeCell ref="B158:B163"/>
    <mergeCell ref="B104:B109"/>
    <mergeCell ref="B92:B97"/>
    <mergeCell ref="B14:B19"/>
    <mergeCell ref="B8:B13"/>
    <mergeCell ref="B4:B6"/>
    <mergeCell ref="D5:D6"/>
    <mergeCell ref="B32:B37"/>
    <mergeCell ref="B20:B25"/>
    <mergeCell ref="C4:C6"/>
    <mergeCell ref="A332:A337"/>
    <mergeCell ref="A326:A331"/>
    <mergeCell ref="A338:A343"/>
    <mergeCell ref="B314:B319"/>
    <mergeCell ref="A320:A325"/>
    <mergeCell ref="A290:A295"/>
    <mergeCell ref="B290:B295"/>
    <mergeCell ref="A296:A301"/>
    <mergeCell ref="B326:B331"/>
    <mergeCell ref="A242:A247"/>
    <mergeCell ref="A146:A151"/>
    <mergeCell ref="A14:A19"/>
    <mergeCell ref="B62:B67"/>
    <mergeCell ref="A68:A73"/>
    <mergeCell ref="B278:B283"/>
    <mergeCell ref="A20:A25"/>
    <mergeCell ref="A32:A37"/>
    <mergeCell ref="B26:B31"/>
    <mergeCell ref="A62:A67"/>
    <mergeCell ref="A122:A127"/>
    <mergeCell ref="B122:B127"/>
    <mergeCell ref="H1:L1"/>
    <mergeCell ref="A140:A145"/>
    <mergeCell ref="A116:A121"/>
    <mergeCell ref="A218:A223"/>
    <mergeCell ref="A188:A193"/>
    <mergeCell ref="A4:A6"/>
    <mergeCell ref="A8:A13"/>
    <mergeCell ref="E5:E6"/>
  </mergeCells>
  <hyperlinks>
    <hyperlink ref="C11" r:id="rId1" display="C:\DOCUME~1\9335~1\LOCALS~1\Temp\Rar$DI97.496\табл.4,5,7,8 - копия.xls - Лист1!Par738#RANGE!Par738"/>
    <hyperlink ref="C17" r:id="rId2" display="C:\DOCUME~1\9335~1\LOCALS~1\Temp\Rar$DI97.496\табл.4,5,7,8 - копия.xls - Лист1!Par738#RANGE!Par738"/>
    <hyperlink ref="C23" r:id="rId3" display="C:\DOCUME~1\9335~1\LOCALS~1\Temp\Rar$DI97.496\табл.4,5,7,8 - копия.xls - Лист1!Par738#RANGE!Par738"/>
    <hyperlink ref="C113" r:id="rId4" display="C:\DOCUME~1\9335~1\LOCALS~1\Temp\Rar$DI97.496\табл.4,5,7,8 - копия.xls - Лист1!Par738#RANGE!Par738"/>
    <hyperlink ref="C119" r:id="rId5" display="C:\DOCUME~1\9335~1\LOCALS~1\Temp\Rar$DI97.496\табл.4,5,7,8 - копия.xls - Лист1!Par738#RANGE!Par738"/>
    <hyperlink ref="C221" r:id="rId6" display="C:\DOCUME~1\9335~1\LOCALS~1\Temp\Rar$DI97.496\табл.4,5,7,8 - копия.xls - Лист1!Par738#RANGE!Par738"/>
    <hyperlink ref="C257" r:id="rId7" display="C:\DOCUME~1\9335~1\LOCALS~1\Temp\Rar$DI97.496\табл.4,5,7,8 - копия.xls - Лист1!Par738#RANGE!Par738"/>
    <hyperlink ref="C263" r:id="rId8" display="C:\DOCUME~1\9335~1\LOCALS~1\Temp\Rar$DI97.496\табл.4,5,7,8 - копия.xls - Лист1!Par738#RANGE!Par738"/>
    <hyperlink ref="C269" r:id="rId9" display="C:\DOCUME~1\9335~1\LOCALS~1\Temp\Rar$DI97.496\табл.4,5,7,8 - копия.xls - Лист1!Par738#RANGE!Par738"/>
    <hyperlink ref="C299" r:id="rId10" display="C:\DOCUME~1\9335~1\LOCALS~1\Temp\Rar$DI97.496\табл.4,5,7,8 - копия.xls - Лист1!Par738#RANGE!Par738"/>
    <hyperlink ref="C311" r:id="rId11" display="C:\DOCUME~1\9335~1\LOCALS~1\Temp\Rar$DI97.496\табл.4,5,7,8 - копия.xls - Лист1!Par738#RANGE!Par738"/>
    <hyperlink ref="C329" r:id="rId12" display="C:\DOCUME~1\9335~1\LOCALS~1\Temp\Rar$DI97.496\табл.4,5,7,8 - копия.xls - Лист1!Par738#RANGE!Par738"/>
    <hyperlink ref="C335" r:id="rId13" display="C:\DOCUME~1\9335~1\LOCALS~1\Temp\Rar$DI97.496\табл.4,5,7,8 - копия.xls - Лист1!Par738#RANGE!Par738"/>
    <hyperlink ref="C341" r:id="rId14" display="C:\DOCUME~1\9335~1\LOCALS~1\Temp\Rar$DI97.496\табл.4,5,7,8 - копия.xls - Лист1!Par738#RANGE!Par738"/>
    <hyperlink ref="C365" r:id="rId15" display="C:\DOCUME~1\9335~1\LOCALS~1\Temp\Rar$DI97.496\табл.4,5,7,8 - копия.xls - Лист1!Par738#RANGE!Par738"/>
    <hyperlink ref="C137" r:id="rId16" display="C:\DOCUME~1\9335~1\LOCALS~1\Temp\Rar$DI97.496\табл.4,5,7,8 - копия.xls - Лист1!Par738#RANGE!Par738"/>
    <hyperlink ref="C29" r:id="rId17" display="C:\DOCUME~1\9335~1\LOCALS~1\Temp\Rar$DI97.496\табл.4,5,7,8 - копия.xls - Лист1!Par738#RANGE!Par738"/>
    <hyperlink ref="C353" r:id="rId18" display="C:\DOCUME~1\9335~1\LOCALS~1\Temp\Rar$DI97.496\табл.4,5,7,8 - копия.xls - Лист1!Par738#RANGE!Par738"/>
    <hyperlink ref="C59" r:id="rId19" display="C:\DOCUME~1\9335~1\LOCALS~1\Temp\Rar$DI97.496\табл.4,5,7,8 - копия.xls - Лист1!Par738#RANGE!Par738"/>
    <hyperlink ref="C101" r:id="rId20" display="C:\DOCUME~1\9335~1\LOCALS~1\Temp\Rar$DI97.496\табл.4,5,7,8 - копия.xls - Лист1!Par738#RANGE!Par738"/>
    <hyperlink ref="C107" r:id="rId21" display="C:\DOCUME~1\9335~1\LOCALS~1\Temp\Rar$DI97.496\табл.4,5,7,8 - копия.xls - Лист1!Par738#RANGE!Par738"/>
    <hyperlink ref="C395" r:id="rId22" display="C:\DOCUME~1\9335~1\LOCALS~1\Temp\Rar$DI97.496\табл.4,5,7,8 - копия.xls - Лист1!Par738#RANGE!Par738"/>
    <hyperlink ref="C377" r:id="rId23" display="C:\DOCUME~1\9335~1\LOCALS~1\Temp\Rar$DI97.496\табл.4,5,7,8 - копия.xls - Лист1!Par738#RANGE!Par738"/>
    <hyperlink ref="C371" r:id="rId24" display="C:\DOCUME~1\9335~1\LOCALS~1\Temp\Rar$DI97.496\табл.4,5,7,8 - копия.xls - Лист1!Par738#RANGE!Par738"/>
    <hyperlink ref="C227" r:id="rId25" display="C:\DOCUME~1\9335~1\LOCALS~1\Temp\Rar$DI97.496\табл.4,5,7,8 - копия.xls - Лист1!Par738#RANGE!Par738"/>
    <hyperlink ref="C359" r:id="rId26" display="C:\DOCUME~1\9335~1\LOCALS~1\Temp\Rar$DI97.496\табл.4,5,7,8 - копия.xls - Лист1!Par738#RANGE!Par738"/>
    <hyperlink ref="C95" r:id="rId27" display="C:\DOCUME~1\9335~1\LOCALS~1\Temp\Rar$DI97.496\табл.4,5,7,8 - копия.xls - Лист1!Par738#RANGE!Par738"/>
    <hyperlink ref="C161" r:id="rId28" display="C:\DOCUME~1\9335~1\LOCALS~1\Temp\Rar$DI97.496\табл.4,5,7,8 - копия.xls - Лист1!Par738#RANGE!Par738"/>
    <hyperlink ref="C155" r:id="rId29" display="C:\DOCUME~1\9335~1\LOCALS~1\Temp\Rar$DI97.496\табл.4,5,7,8 - копия.xls - Лист1!Par738#RANGE!Par738"/>
    <hyperlink ref="C197" r:id="rId30" display="C:\DOCUME~1\9335~1\LOCALS~1\Temp\Rar$DI97.496\табл.4,5,7,8 - копия.xls - Лист1!Par738#RANGE!Par738"/>
    <hyperlink ref="C185" r:id="rId31" display="C:\DOCUME~1\9335~1\LOCALS~1\Temp\Rar$DI97.496\табл.4,5,7,8 - копия.xls - Лист1!Par738#RANGE!Par738"/>
    <hyperlink ref="C191" r:id="rId32" display="C:\DOCUME~1\9335~1\LOCALS~1\Temp\Rar$DI97.496\табл.4,5,7,8 - копия.xls - Лист1!Par738#RANGE!Par738"/>
    <hyperlink ref="C305" r:id="rId33" display="C:\DOCUME~1\9335~1\LOCALS~1\Temp\Rar$DI97.496\табл.4,5,7,8 - копия.xls - Лист1!Par738#RANGE!Par738"/>
    <hyperlink ref="C215" r:id="rId34" display="C:\DOCUME~1\9335~1\LOCALS~1\Temp\Rar$DI97.496\табл.4,5,7,8 - копия.xls - Лист1!Par738#RANGE!Par738"/>
    <hyperlink ref="C179" r:id="rId35" display="C:\DOCUME~1\9335~1\LOCALS~1\Temp\Rar$DI97.496\табл.4,5,7,8 - копия.xls - Лист1!Par738#RANGE!Par738"/>
    <hyperlink ref="C293" r:id="rId36" display="C:\DOCUME~1\9335~1\LOCALS~1\Temp\Rar$DI97.496\табл.4,5,7,8 - копия.xls - Лист1!Par738#RANGE!Par738"/>
    <hyperlink ref="C233" r:id="rId37" display="C:\DOCUME~1\9335~1\LOCALS~1\Temp\Rar$DI97.496\табл.4,5,7,8 - копия.xls - Лист1!Par738#RANGE!Par738"/>
    <hyperlink ref="C173" r:id="rId38" display="C:\DOCUME~1\9335~1\LOCALS~1\Temp\Rar$DI97.496\табл.4,5,7,8 - копия.xls - Лист1!Par738#RANGE!Par738"/>
    <hyperlink ref="C167" r:id="rId39" display="C:\DOCUME~1\9335~1\LOCALS~1\Temp\Rar$DI97.496\табл.4,5,7,8 - копия.xls - Лист1!Par738#RANGE!Par738"/>
    <hyperlink ref="C275" r:id="rId40" display="C:\DOCUME~1\9335~1\LOCALS~1\Temp\Rar$DI97.496\табл.4,5,7,8 - копия.xls - Лист1!Par738#RANGE!Par738"/>
    <hyperlink ref="C281" r:id="rId41" display="C:\DOCUME~1\9335~1\LOCALS~1\Temp\Rar$DI97.496\табл.4,5,7,8 - копия.xls - Лист1!Par738#RANGE!Par738"/>
    <hyperlink ref="C143" r:id="rId42" display="C:\DOCUME~1\9335~1\LOCALS~1\Temp\Rar$DI97.496\табл.4,5,7,8 - копия.xls - Лист1!Par738#RANGE!Par738"/>
    <hyperlink ref="C149" r:id="rId43" display="C:\DOCUME~1\9335~1\LOCALS~1\Temp\Rar$DI97.496\табл.4,5,7,8 - копия.xls - Лист1!Par738#RANGE!Par738"/>
    <hyperlink ref="C41" r:id="rId44" display="C:\DOCUME~1\9335~1\LOCALS~1\Temp\Rar$DI97.496\табл.4,5,7,8 - копия.xls - Лист1!Par738#RANGE!Par738"/>
    <hyperlink ref="C71" r:id="rId45" display="C:\DOCUME~1\9335~1\LOCALS~1\Temp\Rar$DI97.496\табл.4,5,7,8 - копия.xls - Лист1!Par738#RANGE!Par738"/>
    <hyperlink ref="C35" r:id="rId46" display="C:\DOCUME~1\9335~1\LOCALS~1\Temp\Rar$DI97.496\табл.4,5,7,8 - копия.xls - Лист1!Par738#RANGE!Par738"/>
    <hyperlink ref="C65" r:id="rId47" display="C:\DOCUME~1\9335~1\LOCALS~1\Temp\Rar$DI97.496\табл.4,5,7,8 - копия.xls - Лист1!Par738#RANGE!Par738"/>
    <hyperlink ref="C53" r:id="rId48" display="C:\DOCUME~1\9335~1\LOCALS~1\Temp\Rar$DI97.496\табл.4,5,7,8 - копия.xls - Лист1!Par738#RANGE!Par738"/>
    <hyperlink ref="C83" r:id="rId49" display="C:\DOCUME~1\9335~1\LOCALS~1\Temp\Rar$DI97.496\табл.4,5,7,8 - копия.xls - Лист1!Par738#RANGE!Par738"/>
    <hyperlink ref="C287" r:id="rId50" display="C:\DOCUME~1\9335~1\LOCALS~1\Temp\Rar$DI97.496\табл.4,5,7,8 - копия.xls - Лист1!Par738#RANGE!Par738"/>
    <hyperlink ref="C347" r:id="rId51" display="C:\DOCUME~1\9335~1\LOCALS~1\Temp\Rar$DI97.496\табл.4,5,7,8 - копия.xls - Лист1!Par738#RANGE!Par738"/>
    <hyperlink ref="C245" r:id="rId52" display="C:\DOCUME~1\9335~1\LOCALS~1\Temp\Rar$DI97.496\табл.4,5,7,8 - копия.xls - Лист1!Par738#RANGE!Par738"/>
    <hyperlink ref="C251" r:id="rId53" display="C:\DOCUME~1\9335~1\LOCALS~1\Temp\Rar$DI97.496\табл.4,5,7,8 - копия.xls - Лист1!Par738#RANGE!Par738"/>
    <hyperlink ref="C383" r:id="rId54" display="C:\DOCUME~1\9335~1\LOCALS~1\Temp\Rar$DI97.496\табл.4,5,7,8 - копия.xls - Лист1!Par738#RANGE!Par738"/>
    <hyperlink ref="C389" r:id="rId55" display="C:\DOCUME~1\9335~1\LOCALS~1\Temp\Rar$DI97.496\табл.4,5,7,8 - копия.xls - Лист1!Par738#RANGE!Par738"/>
    <hyperlink ref="C401" r:id="rId56" display="C:\DOCUME~1\9335~1\LOCALS~1\Temp\Rar$DI97.496\табл.4,5,7,8 - копия.xls - Лист1!Par738#RANGE!Par738"/>
    <hyperlink ref="C407" r:id="rId57" display="C:\DOCUME~1\9335~1\LOCALS~1\Temp\Rar$DI97.496\табл.4,5,7,8 - копия.xls - Лист1!Par738#RANGE!Par738"/>
    <hyperlink ref="C89" r:id="rId58" display="C:\DOCUME~1\9335~1\LOCALS~1\Temp\Rar$DI97.496\табл.4,5,7,8 - копия.xls - Лист1!Par738#RANGE!Par738"/>
    <hyperlink ref="C203" r:id="rId59" display="C:\DOCUME~1\9335~1\LOCALS~1\Temp\Rar$DI97.496\табл.4,5,7,8 - копия.xls - Лист1!Par738#RANGE!Par738"/>
    <hyperlink ref="C209" r:id="rId60" display="C:\DOCUME~1\9335~1\LOCALS~1\Temp\Rar$DI97.496\табл.4,5,7,8 - копия.xls - Лист1!Par738#RANGE!Par738"/>
    <hyperlink ref="C47" r:id="rId61" display="C:\DOCUME~1\9335~1\LOCALS~1\Temp\Rar$DI97.496\табл.4,5,7,8 - копия.xls - Лист1!Par738#RANGE!Par738"/>
    <hyperlink ref="C77" r:id="rId62" display="C:\DOCUME~1\9335~1\LOCALS~1\Temp\Rar$DI97.496\табл.4,5,7,8 - копия.xls - Лист1!Par738#RANGE!Par738"/>
    <hyperlink ref="C239" r:id="rId63" display="C:\DOCUME~1\9335~1\LOCALS~1\Temp\Rar$DI97.496\табл.4,5,7,8 - копия.xls - Лист1!Par738#RANGE!Par738"/>
    <hyperlink ref="C317" r:id="rId64" display="C:\DOCUME~1\9335~1\LOCALS~1\Temp\Rar$DI97.496\табл.4,5,7,8 - копия.xls - Лист1!Par738#RANGE!Par738"/>
    <hyperlink ref="C323" r:id="rId65" display="C:\DOCUME~1\9335~1\LOCALS~1\Temp\Rar$DI97.496\табл.4,5,7,8 - копия.xls - Лист1!Par738#RANGE!Par738"/>
  </hyperlinks>
  <printOptions/>
  <pageMargins left="0.5905511811023623" right="0" top="0.5905511811023623" bottom="0.5905511811023623" header="0.4330708661417323" footer="0.3937007874015748"/>
  <pageSetup fitToHeight="20" fitToWidth="1" horizontalDpi="600" verticalDpi="600" orientation="landscape" paperSize="9" scale="47" r:id="rId68"/>
  <rowBreaks count="3" manualBreakCount="3">
    <brk id="60" max="11" man="1"/>
    <brk id="83" max="11" man="1"/>
    <brk id="319" max="11" man="1"/>
  </rowBreaks>
  <legacyDrawing r:id="rId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2014-10-03T05:31:34Z</cp:lastPrinted>
  <dcterms:created xsi:type="dcterms:W3CDTF">2006-09-28T05:33:49Z</dcterms:created>
  <dcterms:modified xsi:type="dcterms:W3CDTF">2021-10-21T06:16:04Z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